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ctor Nicolas\Desktop\nicojunior\emmgirs\tercer produnto\a entregar_producto3\Tomo VII_presupuesto\"/>
    </mc:Choice>
  </mc:AlternateContent>
  <bookViews>
    <workbookView xWindow="345" yWindow="2895" windowWidth="15180" windowHeight="11235"/>
  </bookViews>
  <sheets>
    <sheet name="Volumenes de Obra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2" i="8" l="1"/>
  <c r="N28" i="8"/>
  <c r="Q54" i="8" l="1"/>
  <c r="Q55" i="8" s="1"/>
  <c r="Q48" i="8"/>
  <c r="Q49" i="8"/>
  <c r="Q90" i="8"/>
  <c r="Q89" i="8"/>
  <c r="Q77" i="8"/>
  <c r="Q76" i="8"/>
  <c r="Q85" i="8"/>
  <c r="Q71" i="8"/>
  <c r="Q72" i="8" s="1"/>
  <c r="Q63" i="8"/>
  <c r="Q64" i="8" s="1"/>
  <c r="T23" i="8"/>
  <c r="K61" i="8"/>
  <c r="K63" i="8" s="1"/>
  <c r="K50" i="8"/>
  <c r="K52" i="8"/>
  <c r="Q78" i="8" l="1"/>
  <c r="R55" i="8" s="1"/>
  <c r="Q50" i="8"/>
  <c r="R50" i="8" s="1"/>
  <c r="K55" i="8"/>
  <c r="K45" i="8"/>
  <c r="K21" i="8"/>
  <c r="K12" i="8"/>
  <c r="K11" i="8"/>
  <c r="K36" i="8"/>
  <c r="K44" i="8" s="1"/>
  <c r="K35" i="8"/>
  <c r="K43" i="8" s="1"/>
  <c r="K34" i="8"/>
  <c r="K33" i="8"/>
  <c r="K20" i="8"/>
  <c r="K19" i="8"/>
  <c r="K18" i="8"/>
  <c r="K17" i="8"/>
  <c r="N37" i="8"/>
  <c r="N36" i="8"/>
  <c r="N35" i="8"/>
  <c r="N34" i="8"/>
  <c r="N33" i="8"/>
  <c r="N19" i="8"/>
  <c r="N18" i="8"/>
  <c r="N17" i="8"/>
  <c r="N12" i="8"/>
  <c r="N11" i="8"/>
  <c r="N10" i="8"/>
  <c r="N9" i="8"/>
  <c r="N8" i="8"/>
  <c r="N7" i="8"/>
  <c r="H49" i="8"/>
  <c r="H35" i="8"/>
  <c r="H34" i="8"/>
  <c r="H33" i="8"/>
  <c r="H32" i="8"/>
  <c r="H19" i="8"/>
  <c r="H18" i="8"/>
  <c r="H17" i="8"/>
  <c r="H16" i="8"/>
  <c r="H11" i="8"/>
  <c r="H12" i="8" s="1"/>
  <c r="N45" i="8"/>
  <c r="E24" i="8"/>
  <c r="E18" i="8"/>
  <c r="E20" i="8" s="1"/>
  <c r="E12" i="8"/>
  <c r="E14" i="8" s="1"/>
  <c r="B71" i="8"/>
  <c r="B62" i="8"/>
  <c r="B48" i="8"/>
  <c r="B50" i="8"/>
  <c r="B43" i="8"/>
  <c r="B39" i="8"/>
  <c r="B41" i="8"/>
  <c r="B34" i="8"/>
  <c r="B35" i="8" s="1"/>
  <c r="B30" i="8"/>
  <c r="B19" i="8"/>
  <c r="B12" i="8"/>
  <c r="B18" i="8" s="1"/>
  <c r="E39" i="8"/>
  <c r="E40" i="8" s="1"/>
  <c r="E8" i="8"/>
  <c r="Q44" i="8"/>
  <c r="K13" i="8" l="1"/>
  <c r="K37" i="8"/>
  <c r="K41" i="8"/>
  <c r="K22" i="8"/>
  <c r="K42" i="8"/>
  <c r="K27" i="8"/>
  <c r="K26" i="8"/>
  <c r="N38" i="8"/>
  <c r="N13" i="8"/>
  <c r="N20" i="8"/>
  <c r="B20" i="8"/>
  <c r="B44" i="8"/>
  <c r="B14" i="8"/>
  <c r="E26" i="8"/>
  <c r="E44" i="8"/>
  <c r="E47" i="8" s="1"/>
  <c r="B52" i="8"/>
  <c r="B53" i="8" s="1"/>
  <c r="E35" i="8"/>
  <c r="W27" i="8"/>
  <c r="W23" i="8"/>
  <c r="W18" i="8"/>
  <c r="W13" i="8"/>
  <c r="W8" i="8"/>
  <c r="T25" i="8"/>
  <c r="T19" i="8"/>
  <c r="T13" i="8"/>
  <c r="T8" i="8"/>
  <c r="H20" i="8"/>
  <c r="Q33" i="8"/>
  <c r="Q34" i="8"/>
  <c r="Q27" i="8"/>
  <c r="Q13" i="8"/>
  <c r="Q8" i="8"/>
  <c r="H36" i="8"/>
  <c r="H25" i="8"/>
  <c r="H24" i="8"/>
  <c r="B8" i="8"/>
  <c r="H27" i="8" l="1"/>
  <c r="K29" i="8"/>
  <c r="K46" i="8"/>
  <c r="Q17" i="8"/>
  <c r="Q20" i="8" s="1"/>
  <c r="Q36" i="8"/>
  <c r="Q95" i="8" l="1"/>
  <c r="N97" i="8"/>
</calcChain>
</file>

<file path=xl/sharedStrings.xml><?xml version="1.0" encoding="utf-8"?>
<sst xmlns="http://schemas.openxmlformats.org/spreadsheetml/2006/main" count="361" uniqueCount="127">
  <si>
    <t>Replanteo y Nivelación con equipo topografico (m)</t>
  </si>
  <si>
    <t>Longitud (m)</t>
  </si>
  <si>
    <t>Área de canal (m2)</t>
  </si>
  <si>
    <t>Cantidad (m3)</t>
  </si>
  <si>
    <t>Cantidad (m)</t>
  </si>
  <si>
    <t>Encofrado recto (m2)</t>
  </si>
  <si>
    <t>Cantidad (m2)</t>
  </si>
  <si>
    <t>Malla R188 (m2)</t>
  </si>
  <si>
    <t>Ancho (m)</t>
  </si>
  <si>
    <t>Excavación en suelo sin clasificar a maquina de 0-2m (m3)</t>
  </si>
  <si>
    <t>Altura (m)</t>
  </si>
  <si>
    <t>Altura promedio (m)</t>
  </si>
  <si>
    <t>Largo (m)</t>
  </si>
  <si>
    <t>Ancho(m)</t>
  </si>
  <si>
    <t>Espesor de pared (m)</t>
  </si>
  <si>
    <t>Volumen tubería (m3)</t>
  </si>
  <si>
    <t>Acero de refuerzo fy4200 kg/cm2 (kg)</t>
  </si>
  <si>
    <t>Cantidad (kg)</t>
  </si>
  <si>
    <t>Area de varilla (m2)</t>
  </si>
  <si>
    <t>Peso especifico (kg/m3)</t>
  </si>
  <si>
    <t>Area dentellon (m2)</t>
  </si>
  <si>
    <t>Cabezal (m2)</t>
  </si>
  <si>
    <t>Alas (m2)</t>
  </si>
  <si>
    <t>Base menor (m)</t>
  </si>
  <si>
    <t>Base mayor (m)</t>
  </si>
  <si>
    <t>Hormigón ciclopeo f'c 210kg/cm2 40%piedra (m3)</t>
  </si>
  <si>
    <t>Area (m2)</t>
  </si>
  <si>
    <t># de anclajes</t>
  </si>
  <si>
    <t># de rejas en canal</t>
  </si>
  <si>
    <t>Cantidad (u)</t>
  </si>
  <si>
    <t>DREN - CANAL DE HORMIGÓN</t>
  </si>
  <si>
    <t>Alto (m)</t>
  </si>
  <si>
    <t>Material filtrante para dren (m3)</t>
  </si>
  <si>
    <t>Tubería perforada  160mm PVC (m)</t>
  </si>
  <si>
    <t>Geotextil NT1600 (m2)</t>
  </si>
  <si>
    <t>Volumen (m3)</t>
  </si>
  <si>
    <t>Corte Reconformación de escombrera (m3)</t>
  </si>
  <si>
    <t>Relleno Reconformación de escombrera (m3)</t>
  </si>
  <si>
    <t>espesor (m)</t>
  </si>
  <si>
    <t>Área (m2)</t>
  </si>
  <si>
    <t>CAPA ORGANICA - RECONFORMACIÓN ESCOMBRERA</t>
  </si>
  <si>
    <t>Cobertura vegetal (u)</t>
  </si>
  <si>
    <t>unidades/9m2</t>
  </si>
  <si>
    <t>COBERTURA VEGETAL - RECONFORMACIÓN ESCOMBRERA</t>
  </si>
  <si>
    <t>Cerramiento de alambre (m)</t>
  </si>
  <si>
    <t>CERRAMIENTO</t>
  </si>
  <si>
    <t>Puerta Peatonal  (m)</t>
  </si>
  <si>
    <t>PUERTA - CERRAMIENTO</t>
  </si>
  <si>
    <t># de puertas (u)</t>
  </si>
  <si>
    <t>Hito de control  (u)</t>
  </si>
  <si>
    <t>HITO- CERRAMIENTO</t>
  </si>
  <si>
    <t># de Hitos (u)</t>
  </si>
  <si>
    <t>Hito de testigo  (u)</t>
  </si>
  <si>
    <t>MOJONES  (u)</t>
  </si>
  <si>
    <t>Hormigón simple 180kg/cm2 (m3)</t>
  </si>
  <si>
    <t>Tubería 2" (m)</t>
  </si>
  <si>
    <t>Varilla acero fy4200 kg/cm2, D=1/2" (kg)</t>
  </si>
  <si>
    <t>Cantidad de mojones</t>
  </si>
  <si>
    <t>MOJONES</t>
  </si>
  <si>
    <t>Hormigón 280Kg/cm2</t>
  </si>
  <si>
    <t>Hormigón 280Kg/cm2 (m3)</t>
  </si>
  <si>
    <t>CANAL AGUAS ARRIBA</t>
  </si>
  <si>
    <t>Base (m3)</t>
  </si>
  <si>
    <t>ANCLAJES - RAMPA</t>
  </si>
  <si>
    <t xml:space="preserve">RAPIDA </t>
  </si>
  <si>
    <t>CONFORMACIÓN DE PLATAFORMA DE ESCOMBRERA</t>
  </si>
  <si>
    <t>CERRAMIENTO - HITOS</t>
  </si>
  <si>
    <t xml:space="preserve">CAJA ENTRADA </t>
  </si>
  <si>
    <t>Tuberia de Acero Corrugado 800mm (media caña), e=2.5mm</t>
  </si>
  <si>
    <t>Geomembrana (m2)</t>
  </si>
  <si>
    <t>Area (m)</t>
  </si>
  <si>
    <t>CAJÓN RECOLECTOR</t>
  </si>
  <si>
    <t>Espesor pared (m)</t>
  </si>
  <si>
    <t># unidades</t>
  </si>
  <si>
    <t>Tapa Ho 1.1x0.6x0.07m  (u)</t>
  </si>
  <si>
    <t>Unidades (u)</t>
  </si>
  <si>
    <t># de rejas</t>
  </si>
  <si>
    <t># de varillas</t>
  </si>
  <si>
    <t>Rejas metalicas D=20mm (kg)</t>
  </si>
  <si>
    <t>Acero D=1/2" union cajon con pozo (kg)</t>
  </si>
  <si>
    <t>Excavación a mano en suelo sin clasificar de 0-2m (m3)</t>
  </si>
  <si>
    <t>CANAL RECOLECTOR 1</t>
  </si>
  <si>
    <t xml:space="preserve">CANAL RECOLECTOR 1 </t>
  </si>
  <si>
    <t>Pered (m)</t>
  </si>
  <si>
    <t>CANAL RECOLECTOR 2</t>
  </si>
  <si>
    <t>DREN</t>
  </si>
  <si>
    <t>CANAL RECOLECTOR 2  - DREN</t>
  </si>
  <si>
    <t>Sumidero (u)</t>
  </si>
  <si>
    <t>Tapa Ho 0.7x0.7x0.07m  (u)</t>
  </si>
  <si>
    <t>Base (m2)</t>
  </si>
  <si>
    <t>dentellon (m2)</t>
  </si>
  <si>
    <t>Alas (m3)</t>
  </si>
  <si>
    <t>Cabezal (m3)</t>
  </si>
  <si>
    <t>dentellon (m3)</t>
  </si>
  <si>
    <t>salida (m3)</t>
  </si>
  <si>
    <t>DESCARGA</t>
  </si>
  <si>
    <t>salida (m2)</t>
  </si>
  <si>
    <t>CAJA DE ENTRADA - ALCANTARILLADO</t>
  </si>
  <si>
    <t>CAJA SALIDA - ALCANTARILLADO</t>
  </si>
  <si>
    <t>Volumen canales (m3)</t>
  </si>
  <si>
    <t>Area canales (m2)</t>
  </si>
  <si>
    <t># de canales</t>
  </si>
  <si>
    <t>Tapa con reja metalicas (kg)</t>
  </si>
  <si>
    <t>Rejas metalicas en canales (kg)</t>
  </si>
  <si>
    <t>Conformación con capa organica (m3)</t>
  </si>
  <si>
    <t>CORTE - CONFORMACIÓN PLATAFORMA</t>
  </si>
  <si>
    <t>RELLENO - CONFORMACIÓN PLATAFORMA</t>
  </si>
  <si>
    <t>Dentellon (m3)</t>
  </si>
  <si>
    <t>Area paredes (m2)</t>
  </si>
  <si>
    <t>Area base (m2)</t>
  </si>
  <si>
    <t>Longitud base (m)</t>
  </si>
  <si>
    <t>Dentellon (m2)</t>
  </si>
  <si>
    <t>COLCHÓN</t>
  </si>
  <si>
    <t>Area paredes(m2)</t>
  </si>
  <si>
    <t>.</t>
  </si>
  <si>
    <t>RAMPA</t>
  </si>
  <si>
    <t>Replantillo Ho 140kg/cm2, 5cm (m2)</t>
  </si>
  <si>
    <t>Replantillo Ho 140kg/cm2, e=5cm (m2)</t>
  </si>
  <si>
    <t>CAJA SALIDA</t>
  </si>
  <si>
    <t>Hormigón simple 280kg/cm2 (m3)</t>
  </si>
  <si>
    <t>CAJA ENTRADA - CRUCE VIA</t>
  </si>
  <si>
    <t>COLCHÓN RÁPIDA</t>
  </si>
  <si>
    <t>excavación</t>
  </si>
  <si>
    <t>Replanteo y nivelación</t>
  </si>
  <si>
    <t>Replanteo</t>
  </si>
  <si>
    <t>alto (m)</t>
  </si>
  <si>
    <t>Excavación en suelo sin clasificar  0-2m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</si>
</sst>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1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2" fontId="0" fillId="0" borderId="0" xfId="0" applyNumberFormat="1"/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616325</xdr:colOff>
      <xdr:row>2</xdr:row>
      <xdr:rowOff>67235</xdr:rowOff>
    </xdr:from>
    <xdr:to>
      <xdr:col>1</xdr:col>
      <xdr:colOff>1761176</xdr:colOff>
      <xdr:row>2</xdr:row>
      <xdr:rowOff>2967388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A1187B-7E7E-4852-8FD8-E0B8CFB1D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325" y="448235"/>
          <a:ext cx="2948998" cy="2900153"/>
        </a:xfrm>
        <a:prstGeom prst="rect">
          <a:avLst/>
        </a:prstGeom>
      </xdr:spPr>
    </xdr:pic>
    <xdr:clientData/>
  </xdr:twoCellAnchor>
  <xdr:twoCellAnchor editAs="oneCell">
    <xdr:from>
      <xdr:col>3</xdr:col>
      <xdr:colOff>526677</xdr:colOff>
      <xdr:row>2</xdr:row>
      <xdr:rowOff>44823</xdr:rowOff>
    </xdr:from>
    <xdr:to>
      <xdr:col>4</xdr:col>
      <xdr:colOff>1904694</xdr:colOff>
      <xdr:row>2</xdr:row>
      <xdr:rowOff>3009314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CACE98C-F91E-4C0C-924F-619BFB66E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48618" y="425823"/>
          <a:ext cx="3182164" cy="2964491"/>
        </a:xfrm>
        <a:prstGeom prst="rect">
          <a:avLst/>
        </a:prstGeom>
      </xdr:spPr>
    </xdr:pic>
    <xdr:clientData/>
  </xdr:twoCellAnchor>
  <xdr:oneCellAnchor>
    <xdr:from>
      <xdr:col>12</xdr:col>
      <xdr:colOff>56030</xdr:colOff>
      <xdr:row>2</xdr:row>
      <xdr:rowOff>369794</xdr:rowOff>
    </xdr:from>
    <xdr:ext cx="2029108" cy="2362530"/>
    <xdr:pic>
      <xdr:nvPicPr>
        <xdr:cNvPr id="6" name="Imagen 5">
          <a:extLst>
            <a:ext uri="{FF2B5EF4-FFF2-40B4-BE49-F238E27FC236}">
              <a16:creationId xmlns:a16="http://schemas.microsoft.com/office/drawing/2014/main" xmlns="" id="{EA23FE34-7258-4CB0-881F-4195E6EE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75795" y="750794"/>
          <a:ext cx="2029108" cy="2362530"/>
        </a:xfrm>
        <a:prstGeom prst="rect">
          <a:avLst/>
        </a:prstGeom>
      </xdr:spPr>
    </xdr:pic>
    <xdr:clientData/>
  </xdr:oneCellAnchor>
  <xdr:oneCellAnchor>
    <xdr:from>
      <xdr:col>13</xdr:col>
      <xdr:colOff>224118</xdr:colOff>
      <xdr:row>2</xdr:row>
      <xdr:rowOff>694765</xdr:rowOff>
    </xdr:from>
    <xdr:ext cx="2311068" cy="1867161"/>
    <xdr:pic>
      <xdr:nvPicPr>
        <xdr:cNvPr id="7" name="Imagen 6">
          <a:extLst>
            <a:ext uri="{FF2B5EF4-FFF2-40B4-BE49-F238E27FC236}">
              <a16:creationId xmlns:a16="http://schemas.microsoft.com/office/drawing/2014/main" xmlns="" id="{E40F9954-9E4E-4F5D-AA9A-15E47AC046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2244"/>
        <a:stretch/>
      </xdr:blipFill>
      <xdr:spPr>
        <a:xfrm>
          <a:off x="12248030" y="1075765"/>
          <a:ext cx="2311068" cy="1867161"/>
        </a:xfrm>
        <a:prstGeom prst="rect">
          <a:avLst/>
        </a:prstGeom>
      </xdr:spPr>
    </xdr:pic>
    <xdr:clientData/>
  </xdr:oneCellAnchor>
  <xdr:twoCellAnchor editAs="oneCell">
    <xdr:from>
      <xdr:col>6</xdr:col>
      <xdr:colOff>616324</xdr:colOff>
      <xdr:row>2</xdr:row>
      <xdr:rowOff>605118</xdr:rowOff>
    </xdr:from>
    <xdr:to>
      <xdr:col>7</xdr:col>
      <xdr:colOff>1974918</xdr:colOff>
      <xdr:row>2</xdr:row>
      <xdr:rowOff>2672331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27A20653-52BC-49AA-B289-57CBCD05E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36089" y="986118"/>
          <a:ext cx="3162741" cy="2067213"/>
        </a:xfrm>
        <a:prstGeom prst="rect">
          <a:avLst/>
        </a:prstGeom>
      </xdr:spPr>
    </xdr:pic>
    <xdr:clientData/>
  </xdr:twoCellAnchor>
  <xdr:twoCellAnchor editAs="oneCell">
    <xdr:from>
      <xdr:col>9</xdr:col>
      <xdr:colOff>78443</xdr:colOff>
      <xdr:row>2</xdr:row>
      <xdr:rowOff>358589</xdr:rowOff>
    </xdr:from>
    <xdr:to>
      <xdr:col>10</xdr:col>
      <xdr:colOff>2521325</xdr:colOff>
      <xdr:row>2</xdr:row>
      <xdr:rowOff>2864014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F3F1DDF1-6EC1-42FB-8D1F-EFF392538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257061" y="739589"/>
          <a:ext cx="4247029" cy="2505425"/>
        </a:xfrm>
        <a:prstGeom prst="rect">
          <a:avLst/>
        </a:prstGeom>
      </xdr:spPr>
    </xdr:pic>
    <xdr:clientData/>
  </xdr:twoCellAnchor>
  <xdr:twoCellAnchor editAs="oneCell">
    <xdr:from>
      <xdr:col>21</xdr:col>
      <xdr:colOff>168088</xdr:colOff>
      <xdr:row>2</xdr:row>
      <xdr:rowOff>470647</xdr:rowOff>
    </xdr:from>
    <xdr:to>
      <xdr:col>21</xdr:col>
      <xdr:colOff>1905000</xdr:colOff>
      <xdr:row>2</xdr:row>
      <xdr:rowOff>2431677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B1BFFC73-F49E-495F-AACD-A0E400E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525823" y="851647"/>
          <a:ext cx="1736912" cy="1961030"/>
        </a:xfrm>
        <a:prstGeom prst="rect">
          <a:avLst/>
        </a:prstGeom>
      </xdr:spPr>
    </xdr:pic>
    <xdr:clientData/>
  </xdr:twoCellAnchor>
  <xdr:twoCellAnchor editAs="oneCell">
    <xdr:from>
      <xdr:col>21</xdr:col>
      <xdr:colOff>1994647</xdr:colOff>
      <xdr:row>2</xdr:row>
      <xdr:rowOff>67236</xdr:rowOff>
    </xdr:from>
    <xdr:to>
      <xdr:col>22</xdr:col>
      <xdr:colOff>1343435</xdr:colOff>
      <xdr:row>2</xdr:row>
      <xdr:rowOff>1512795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6E79A685-F4DE-4517-A829-2579F0A5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352382" y="448236"/>
          <a:ext cx="1937347" cy="1445559"/>
        </a:xfrm>
        <a:prstGeom prst="rect">
          <a:avLst/>
        </a:prstGeom>
      </xdr:spPr>
    </xdr:pic>
    <xdr:clientData/>
  </xdr:twoCellAnchor>
  <xdr:twoCellAnchor editAs="oneCell">
    <xdr:from>
      <xdr:col>19</xdr:col>
      <xdr:colOff>2011403</xdr:colOff>
      <xdr:row>2</xdr:row>
      <xdr:rowOff>1030944</xdr:rowOff>
    </xdr:from>
    <xdr:to>
      <xdr:col>19</xdr:col>
      <xdr:colOff>3209030</xdr:colOff>
      <xdr:row>2</xdr:row>
      <xdr:rowOff>2039472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58EEFA6C-8874-4460-ABA7-E0A55FD30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909197" y="1411944"/>
          <a:ext cx="1197627" cy="1008528"/>
        </a:xfrm>
        <a:prstGeom prst="rect">
          <a:avLst/>
        </a:prstGeom>
      </xdr:spPr>
    </xdr:pic>
    <xdr:clientData/>
  </xdr:twoCellAnchor>
  <xdr:twoCellAnchor editAs="oneCell">
    <xdr:from>
      <xdr:col>21</xdr:col>
      <xdr:colOff>1994647</xdr:colOff>
      <xdr:row>2</xdr:row>
      <xdr:rowOff>1546171</xdr:rowOff>
    </xdr:from>
    <xdr:to>
      <xdr:col>22</xdr:col>
      <xdr:colOff>1344706</xdr:colOff>
      <xdr:row>2</xdr:row>
      <xdr:rowOff>2919359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75847C21-0800-4F6C-83DA-284B16579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0352382" y="1927171"/>
          <a:ext cx="1938618" cy="1373188"/>
        </a:xfrm>
        <a:prstGeom prst="rect">
          <a:avLst/>
        </a:prstGeom>
      </xdr:spPr>
    </xdr:pic>
    <xdr:clientData/>
  </xdr:twoCellAnchor>
  <xdr:twoCellAnchor editAs="oneCell">
    <xdr:from>
      <xdr:col>18</xdr:col>
      <xdr:colOff>100853</xdr:colOff>
      <xdr:row>2</xdr:row>
      <xdr:rowOff>549088</xdr:rowOff>
    </xdr:from>
    <xdr:to>
      <xdr:col>19</xdr:col>
      <xdr:colOff>1848971</xdr:colOff>
      <xdr:row>2</xdr:row>
      <xdr:rowOff>2488933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05EF117F-767D-4FFC-9F40-55E4D252B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295353" y="930088"/>
          <a:ext cx="3451412" cy="1939845"/>
        </a:xfrm>
        <a:prstGeom prst="rect">
          <a:avLst/>
        </a:prstGeom>
      </xdr:spPr>
    </xdr:pic>
    <xdr:clientData/>
  </xdr:twoCellAnchor>
  <xdr:twoCellAnchor editAs="oneCell">
    <xdr:from>
      <xdr:col>15</xdr:col>
      <xdr:colOff>56030</xdr:colOff>
      <xdr:row>2</xdr:row>
      <xdr:rowOff>459441</xdr:rowOff>
    </xdr:from>
    <xdr:to>
      <xdr:col>15</xdr:col>
      <xdr:colOff>2104191</xdr:colOff>
      <xdr:row>2</xdr:row>
      <xdr:rowOff>2193233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AF8B62BC-F95A-4051-A3E6-8B67589BF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219089" y="840441"/>
          <a:ext cx="2048161" cy="1733792"/>
        </a:xfrm>
        <a:prstGeom prst="rect">
          <a:avLst/>
        </a:prstGeom>
      </xdr:spPr>
    </xdr:pic>
    <xdr:clientData/>
  </xdr:twoCellAnchor>
  <xdr:twoCellAnchor editAs="oneCell">
    <xdr:from>
      <xdr:col>15</xdr:col>
      <xdr:colOff>2106705</xdr:colOff>
      <xdr:row>2</xdr:row>
      <xdr:rowOff>112058</xdr:rowOff>
    </xdr:from>
    <xdr:to>
      <xdr:col>16</xdr:col>
      <xdr:colOff>2072829</xdr:colOff>
      <xdr:row>2</xdr:row>
      <xdr:rowOff>2798483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F5F9D3F3-4609-4A5D-BE9D-7294DEA21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9269764" y="493058"/>
          <a:ext cx="2162477" cy="268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W97"/>
  <sheetViews>
    <sheetView tabSelected="1" topLeftCell="O1" zoomScale="85" zoomScaleNormal="85" workbookViewId="0">
      <pane ySplit="3" topLeftCell="A84" activePane="bottomLeft" state="frozen"/>
      <selection activeCell="G1" sqref="G1"/>
      <selection pane="bottomLeft" activeCell="Q93" sqref="Q93"/>
    </sheetView>
  </sheetViews>
  <sheetFormatPr baseColWidth="10" defaultRowHeight="15" x14ac:dyDescent="0.25"/>
  <cols>
    <col min="1" max="1" width="27" customWidth="1"/>
    <col min="2" max="2" width="36.42578125" customWidth="1"/>
    <col min="3" max="3" width="14.7109375" style="11" customWidth="1"/>
    <col min="4" max="4" width="27" customWidth="1"/>
    <col min="5" max="5" width="36.42578125" customWidth="1"/>
    <col min="7" max="7" width="27" customWidth="1"/>
    <col min="8" max="8" width="38.5703125" customWidth="1"/>
    <col min="9" max="9" width="19.140625" style="11" customWidth="1"/>
    <col min="10" max="10" width="27" customWidth="1"/>
    <col min="11" max="11" width="38.5703125" customWidth="1"/>
    <col min="12" max="12" width="18.28515625" style="11" customWidth="1"/>
    <col min="13" max="13" width="27" customWidth="1"/>
    <col min="14" max="14" width="38.5703125" customWidth="1"/>
    <col min="15" max="15" width="19.42578125" customWidth="1"/>
    <col min="16" max="16" width="32.85546875" customWidth="1"/>
    <col min="17" max="17" width="31.140625" customWidth="1"/>
    <col min="19" max="19" width="25.5703125" customWidth="1"/>
    <col min="20" max="20" width="53.28515625" customWidth="1"/>
    <col min="21" max="21" width="13.5703125" customWidth="1"/>
    <col min="22" max="22" width="38.85546875" customWidth="1"/>
    <col min="23" max="23" width="22.7109375" customWidth="1"/>
  </cols>
  <sheetData>
    <row r="2" spans="1:23" x14ac:dyDescent="0.25">
      <c r="A2" s="29" t="s">
        <v>82</v>
      </c>
      <c r="B2" s="30"/>
      <c r="C2" s="17"/>
      <c r="D2" s="29" t="s">
        <v>86</v>
      </c>
      <c r="E2" s="30"/>
      <c r="G2" s="29" t="s">
        <v>97</v>
      </c>
      <c r="H2" s="30"/>
      <c r="I2" s="17"/>
      <c r="J2" s="29" t="s">
        <v>98</v>
      </c>
      <c r="K2" s="30"/>
      <c r="L2" s="17"/>
      <c r="M2" s="29" t="s">
        <v>95</v>
      </c>
      <c r="N2" s="30"/>
      <c r="P2" s="29" t="s">
        <v>64</v>
      </c>
      <c r="Q2" s="30"/>
      <c r="S2" s="33" t="s">
        <v>65</v>
      </c>
      <c r="T2" s="34"/>
      <c r="V2" s="29" t="s">
        <v>66</v>
      </c>
      <c r="W2" s="30"/>
    </row>
    <row r="3" spans="1:23" ht="241.5" customHeight="1" x14ac:dyDescent="0.25">
      <c r="A3" s="35"/>
      <c r="B3" s="36"/>
      <c r="C3" s="17"/>
      <c r="D3" s="35"/>
      <c r="E3" s="36"/>
      <c r="G3" s="35"/>
      <c r="H3" s="36"/>
      <c r="I3" s="17"/>
      <c r="J3" s="35"/>
      <c r="K3" s="36"/>
      <c r="L3" s="17"/>
      <c r="M3" s="35"/>
      <c r="N3" s="36"/>
      <c r="P3" s="24"/>
      <c r="Q3" s="24"/>
      <c r="S3" s="24"/>
      <c r="T3" s="24"/>
      <c r="V3" s="24"/>
      <c r="W3" s="24"/>
    </row>
    <row r="4" spans="1:23" ht="30" customHeight="1" x14ac:dyDescent="0.25">
      <c r="A4" s="20"/>
      <c r="B4" s="21"/>
      <c r="C4" s="17"/>
      <c r="D4" s="37" t="s">
        <v>85</v>
      </c>
      <c r="E4" s="37"/>
      <c r="G4" s="20"/>
      <c r="H4" s="21"/>
      <c r="I4" s="17"/>
      <c r="J4" s="37" t="s">
        <v>118</v>
      </c>
      <c r="K4" s="37"/>
      <c r="L4" s="17"/>
      <c r="M4" s="37" t="s">
        <v>95</v>
      </c>
      <c r="N4" s="37"/>
      <c r="P4" s="37" t="s">
        <v>121</v>
      </c>
      <c r="Q4" s="37"/>
      <c r="S4" s="20"/>
      <c r="T4" s="21"/>
      <c r="V4" s="20"/>
      <c r="W4" s="21"/>
    </row>
    <row r="5" spans="1:23" ht="15.75" x14ac:dyDescent="0.25">
      <c r="A5" s="25" t="s">
        <v>0</v>
      </c>
      <c r="B5" s="26"/>
      <c r="C5" s="16"/>
      <c r="D5" s="25" t="s">
        <v>0</v>
      </c>
      <c r="E5" s="26"/>
      <c r="G5" s="27" t="s">
        <v>60</v>
      </c>
      <c r="H5" s="27"/>
      <c r="I5" s="16"/>
      <c r="J5" s="27" t="s">
        <v>60</v>
      </c>
      <c r="K5" s="27"/>
      <c r="L5" s="16"/>
      <c r="M5" s="27" t="s">
        <v>60</v>
      </c>
      <c r="N5" s="27"/>
      <c r="P5" s="25" t="s">
        <v>0</v>
      </c>
      <c r="Q5" s="26"/>
      <c r="S5" s="31" t="s">
        <v>36</v>
      </c>
      <c r="T5" s="32"/>
      <c r="V5" s="31" t="s">
        <v>44</v>
      </c>
      <c r="W5" s="32"/>
    </row>
    <row r="6" spans="1:23" x14ac:dyDescent="0.25">
      <c r="A6" s="4"/>
      <c r="B6" s="5" t="s">
        <v>81</v>
      </c>
      <c r="C6" s="17"/>
      <c r="D6" s="4"/>
      <c r="E6" s="5" t="s">
        <v>84</v>
      </c>
      <c r="G6" s="4"/>
      <c r="H6" s="5" t="s">
        <v>67</v>
      </c>
      <c r="I6" s="17"/>
      <c r="J6" s="4"/>
      <c r="K6" s="5" t="s">
        <v>118</v>
      </c>
      <c r="L6" s="17"/>
      <c r="M6" s="4"/>
      <c r="N6" s="5" t="s">
        <v>95</v>
      </c>
      <c r="P6" s="4"/>
      <c r="Q6" s="5" t="s">
        <v>115</v>
      </c>
      <c r="S6" s="4"/>
      <c r="T6" s="5" t="s">
        <v>105</v>
      </c>
      <c r="V6" s="4"/>
      <c r="W6" s="5" t="s">
        <v>45</v>
      </c>
    </row>
    <row r="7" spans="1:23" x14ac:dyDescent="0.25">
      <c r="A7" s="3" t="s">
        <v>1</v>
      </c>
      <c r="B7" s="19">
        <v>325</v>
      </c>
      <c r="C7" s="18"/>
      <c r="D7" s="3" t="s">
        <v>1</v>
      </c>
      <c r="E7" s="1">
        <v>40</v>
      </c>
      <c r="G7" s="3" t="s">
        <v>12</v>
      </c>
      <c r="H7" s="1">
        <v>1</v>
      </c>
      <c r="I7" s="18"/>
      <c r="J7" s="3" t="s">
        <v>12</v>
      </c>
      <c r="K7" s="1">
        <v>1.4</v>
      </c>
      <c r="L7" s="18"/>
      <c r="M7" s="3" t="s">
        <v>91</v>
      </c>
      <c r="N7" s="1">
        <f>2*0.2*2</f>
        <v>0.8</v>
      </c>
      <c r="P7" s="3" t="s">
        <v>1</v>
      </c>
      <c r="Q7" s="1">
        <v>38</v>
      </c>
      <c r="S7" s="3" t="s">
        <v>35</v>
      </c>
      <c r="T7" s="1">
        <v>3125</v>
      </c>
      <c r="V7" s="3" t="s">
        <v>1</v>
      </c>
      <c r="W7" s="1">
        <v>960</v>
      </c>
    </row>
    <row r="8" spans="1:23" x14ac:dyDescent="0.25">
      <c r="A8" s="3" t="s">
        <v>4</v>
      </c>
      <c r="B8" s="19">
        <f>+B7</f>
        <v>325</v>
      </c>
      <c r="C8" s="18"/>
      <c r="D8" s="3" t="s">
        <v>4</v>
      </c>
      <c r="E8" s="1">
        <f>+E7</f>
        <v>40</v>
      </c>
      <c r="G8" s="3" t="s">
        <v>13</v>
      </c>
      <c r="H8" s="1">
        <v>1</v>
      </c>
      <c r="I8" s="18"/>
      <c r="J8" s="3" t="s">
        <v>13</v>
      </c>
      <c r="K8" s="1">
        <v>1.4</v>
      </c>
      <c r="L8" s="18"/>
      <c r="M8" s="3" t="s">
        <v>62</v>
      </c>
      <c r="N8" s="1">
        <f>4.3*0.2</f>
        <v>0.86</v>
      </c>
      <c r="P8" s="3" t="s">
        <v>4</v>
      </c>
      <c r="Q8" s="1">
        <f>+Q7</f>
        <v>38</v>
      </c>
      <c r="S8" s="3" t="s">
        <v>3</v>
      </c>
      <c r="T8" s="1">
        <f>+T7</f>
        <v>3125</v>
      </c>
      <c r="V8" s="3" t="s">
        <v>4</v>
      </c>
      <c r="W8" s="1">
        <f>+W7</f>
        <v>960</v>
      </c>
    </row>
    <row r="9" spans="1:23" x14ac:dyDescent="0.25">
      <c r="G9" s="3" t="s">
        <v>10</v>
      </c>
      <c r="H9" s="1">
        <v>1.8</v>
      </c>
      <c r="I9" s="18"/>
      <c r="J9" s="3" t="s">
        <v>10</v>
      </c>
      <c r="K9" s="1">
        <v>2.1</v>
      </c>
      <c r="L9" s="18"/>
      <c r="M9" s="3" t="s">
        <v>92</v>
      </c>
      <c r="N9" s="1">
        <f>0.3*1.54</f>
        <v>0.46199999999999997</v>
      </c>
    </row>
    <row r="10" spans="1:23" ht="15.75" x14ac:dyDescent="0.25">
      <c r="A10" s="28" t="s">
        <v>69</v>
      </c>
      <c r="B10" s="28"/>
      <c r="C10" s="16"/>
      <c r="D10" s="27" t="s">
        <v>59</v>
      </c>
      <c r="E10" s="27"/>
      <c r="G10" s="6" t="s">
        <v>14</v>
      </c>
      <c r="H10" s="1">
        <v>0.15</v>
      </c>
      <c r="I10" s="18"/>
      <c r="J10" s="6" t="s">
        <v>14</v>
      </c>
      <c r="K10" s="1">
        <v>0.15</v>
      </c>
      <c r="L10" s="18"/>
      <c r="M10" s="7" t="s">
        <v>93</v>
      </c>
      <c r="N10" s="1">
        <f>0.25*0.2*2.53</f>
        <v>0.1265</v>
      </c>
      <c r="P10" s="27" t="s">
        <v>68</v>
      </c>
      <c r="Q10" s="27"/>
      <c r="S10" s="28" t="s">
        <v>37</v>
      </c>
      <c r="T10" s="28"/>
      <c r="V10" s="28" t="s">
        <v>46</v>
      </c>
      <c r="W10" s="28"/>
    </row>
    <row r="11" spans="1:23" x14ac:dyDescent="0.25">
      <c r="A11" s="4"/>
      <c r="B11" s="5" t="s">
        <v>81</v>
      </c>
      <c r="C11" s="17"/>
      <c r="D11" s="4"/>
      <c r="E11" s="5" t="s">
        <v>84</v>
      </c>
      <c r="G11" s="7" t="s">
        <v>15</v>
      </c>
      <c r="H11" s="1">
        <f>+(PI()*0.15^2)*H10</f>
        <v>1.0602875205865551E-2</v>
      </c>
      <c r="I11" s="18"/>
      <c r="J11" s="7" t="s">
        <v>15</v>
      </c>
      <c r="K11" s="1">
        <f>+(PI()*0.25^2)*K10</f>
        <v>2.945243112740431E-2</v>
      </c>
      <c r="L11" s="18"/>
      <c r="M11" s="7" t="s">
        <v>94</v>
      </c>
      <c r="N11" s="1">
        <f>0.5*0.2*0.86*2</f>
        <v>0.17200000000000001</v>
      </c>
      <c r="P11" s="4"/>
      <c r="Q11" s="5" t="s">
        <v>115</v>
      </c>
      <c r="S11" s="4"/>
      <c r="T11" s="5" t="s">
        <v>106</v>
      </c>
      <c r="V11" s="4"/>
      <c r="W11" s="5" t="s">
        <v>47</v>
      </c>
    </row>
    <row r="12" spans="1:23" x14ac:dyDescent="0.25">
      <c r="A12" s="3" t="s">
        <v>1</v>
      </c>
      <c r="B12" s="1">
        <f>+B7</f>
        <v>325</v>
      </c>
      <c r="C12" s="18"/>
      <c r="D12" s="3" t="s">
        <v>1</v>
      </c>
      <c r="E12" s="1">
        <f>+E7</f>
        <v>40</v>
      </c>
      <c r="G12" s="7" t="s">
        <v>3</v>
      </c>
      <c r="H12" s="1">
        <f>+(((H7+2*H10)*(H8+2*H10)-(H7)*(H8))*H9)+((H7+2*H10)*(H8+2*H10)*H10*2)-H11-0.6*0.6*0.07</f>
        <v>1.7131971247941351</v>
      </c>
      <c r="I12" s="18"/>
      <c r="J12" s="7" t="s">
        <v>99</v>
      </c>
      <c r="K12" s="1">
        <f>0.65*1*K10*2</f>
        <v>0.19500000000000001</v>
      </c>
      <c r="L12" s="18"/>
      <c r="M12" s="7" t="s">
        <v>15</v>
      </c>
      <c r="N12" s="1">
        <f>+(PI()*0.25^2)*0.2</f>
        <v>3.9269908169872414E-2</v>
      </c>
      <c r="P12" s="3" t="s">
        <v>1</v>
      </c>
      <c r="Q12" s="1">
        <v>38</v>
      </c>
      <c r="S12" s="3" t="s">
        <v>35</v>
      </c>
      <c r="T12" s="1">
        <v>4087</v>
      </c>
      <c r="V12" s="3" t="s">
        <v>48</v>
      </c>
      <c r="W12" s="1">
        <v>2</v>
      </c>
    </row>
    <row r="13" spans="1:23" x14ac:dyDescent="0.25">
      <c r="A13" s="3" t="s">
        <v>8</v>
      </c>
      <c r="B13" s="10">
        <v>4.5</v>
      </c>
      <c r="C13" s="18"/>
      <c r="D13" s="3" t="s">
        <v>2</v>
      </c>
      <c r="E13" s="1">
        <v>9.8000000000000004E-2</v>
      </c>
      <c r="J13" s="7" t="s">
        <v>3</v>
      </c>
      <c r="K13" s="1">
        <f>+(((K7+2*K10)*(K8+2*K10)-(K7)*(K8))*K9)+((K7+2*K10)*(K8+2*K10)*K10*1)-K11*2-K12</f>
        <v>2.1325951377451915</v>
      </c>
      <c r="M13" s="7" t="s">
        <v>3</v>
      </c>
      <c r="N13" s="1">
        <f>+N11+N10+N9+N8+N7-N12</f>
        <v>2.381230091830127</v>
      </c>
      <c r="P13" s="7" t="s">
        <v>4</v>
      </c>
      <c r="Q13" s="1">
        <f>+Q12</f>
        <v>38</v>
      </c>
      <c r="S13" s="3" t="s">
        <v>3</v>
      </c>
      <c r="T13" s="1">
        <f>+T12</f>
        <v>4087</v>
      </c>
      <c r="V13" s="3" t="s">
        <v>4</v>
      </c>
      <c r="W13" s="1">
        <f>+W12</f>
        <v>2</v>
      </c>
    </row>
    <row r="14" spans="1:23" ht="15.75" x14ac:dyDescent="0.25">
      <c r="A14" s="7" t="s">
        <v>6</v>
      </c>
      <c r="B14" s="1">
        <f>+B13*B12</f>
        <v>1462.5</v>
      </c>
      <c r="C14" s="18"/>
      <c r="D14" s="7" t="s">
        <v>3</v>
      </c>
      <c r="E14" s="1">
        <f>+E12*E13</f>
        <v>3.92</v>
      </c>
      <c r="G14" s="25" t="s">
        <v>5</v>
      </c>
      <c r="H14" s="26"/>
      <c r="I14" s="16"/>
      <c r="L14" s="16"/>
    </row>
    <row r="15" spans="1:23" ht="15.75" x14ac:dyDescent="0.25">
      <c r="G15" s="4"/>
      <c r="H15" s="5" t="s">
        <v>67</v>
      </c>
      <c r="I15" s="17"/>
      <c r="J15" s="25" t="s">
        <v>5</v>
      </c>
      <c r="K15" s="26"/>
      <c r="L15" s="17"/>
      <c r="M15" s="25" t="s">
        <v>5</v>
      </c>
      <c r="N15" s="26"/>
      <c r="P15" s="27" t="s">
        <v>126</v>
      </c>
      <c r="Q15" s="27"/>
      <c r="S15" s="28" t="s">
        <v>104</v>
      </c>
      <c r="T15" s="28"/>
      <c r="V15" s="28" t="s">
        <v>49</v>
      </c>
      <c r="W15" s="28"/>
    </row>
    <row r="16" spans="1:23" ht="15.75" x14ac:dyDescent="0.25">
      <c r="A16" s="25" t="s">
        <v>80</v>
      </c>
      <c r="B16" s="26"/>
      <c r="C16" s="16"/>
      <c r="D16" s="27" t="s">
        <v>5</v>
      </c>
      <c r="E16" s="27"/>
      <c r="G16" s="3" t="s">
        <v>12</v>
      </c>
      <c r="H16" s="1">
        <f>+H7</f>
        <v>1</v>
      </c>
      <c r="I16" s="18"/>
      <c r="J16" s="4"/>
      <c r="K16" s="5" t="s">
        <v>118</v>
      </c>
      <c r="L16" s="18"/>
      <c r="M16" s="4"/>
      <c r="N16" s="5" t="s">
        <v>95</v>
      </c>
      <c r="P16" s="4"/>
      <c r="Q16" s="5" t="s">
        <v>63</v>
      </c>
      <c r="S16" s="4"/>
      <c r="T16" s="5" t="s">
        <v>40</v>
      </c>
      <c r="V16" s="4"/>
      <c r="W16" s="5" t="s">
        <v>50</v>
      </c>
    </row>
    <row r="17" spans="1:23" x14ac:dyDescent="0.25">
      <c r="A17" s="4"/>
      <c r="B17" s="5" t="s">
        <v>81</v>
      </c>
      <c r="C17" s="17"/>
      <c r="D17" s="4"/>
      <c r="E17" s="5" t="s">
        <v>84</v>
      </c>
      <c r="G17" s="3" t="s">
        <v>13</v>
      </c>
      <c r="H17" s="1">
        <f>+H8</f>
        <v>1</v>
      </c>
      <c r="I17" s="18"/>
      <c r="J17" s="3" t="s">
        <v>12</v>
      </c>
      <c r="K17" s="1">
        <f>+K7</f>
        <v>1.4</v>
      </c>
      <c r="L17" s="18"/>
      <c r="M17" s="3" t="s">
        <v>21</v>
      </c>
      <c r="N17" s="1">
        <f>1.83+15*2</f>
        <v>31.83</v>
      </c>
      <c r="P17" s="3" t="s">
        <v>1</v>
      </c>
      <c r="Q17" s="1">
        <f>+Q12</f>
        <v>38</v>
      </c>
      <c r="S17" s="3" t="s">
        <v>39</v>
      </c>
      <c r="T17" s="1">
        <v>11745</v>
      </c>
      <c r="V17" s="3" t="s">
        <v>51</v>
      </c>
      <c r="W17" s="1">
        <v>1</v>
      </c>
    </row>
    <row r="18" spans="1:23" x14ac:dyDescent="0.25">
      <c r="A18" s="3" t="s">
        <v>1</v>
      </c>
      <c r="B18" s="1">
        <f>+B12</f>
        <v>325</v>
      </c>
      <c r="C18" s="18"/>
      <c r="D18" s="3" t="s">
        <v>1</v>
      </c>
      <c r="E18" s="1">
        <f>+E7</f>
        <v>40</v>
      </c>
      <c r="G18" s="3" t="s">
        <v>10</v>
      </c>
      <c r="H18" s="1">
        <f>+H9</f>
        <v>1.8</v>
      </c>
      <c r="I18" s="18"/>
      <c r="J18" s="3" t="s">
        <v>13</v>
      </c>
      <c r="K18" s="1">
        <f>+K8</f>
        <v>1.4</v>
      </c>
      <c r="L18" s="18"/>
      <c r="M18" s="3" t="s">
        <v>22</v>
      </c>
      <c r="N18" s="10">
        <f>2.3*4</f>
        <v>9.1999999999999993</v>
      </c>
      <c r="P18" s="3" t="s">
        <v>8</v>
      </c>
      <c r="Q18" s="1">
        <v>1.1499999999999999</v>
      </c>
      <c r="S18" s="3" t="s">
        <v>38</v>
      </c>
      <c r="T18" s="1">
        <v>0.5</v>
      </c>
      <c r="V18" s="3" t="s">
        <v>4</v>
      </c>
      <c r="W18" s="1">
        <f>+W17</f>
        <v>1</v>
      </c>
    </row>
    <row r="19" spans="1:23" x14ac:dyDescent="0.25">
      <c r="A19" s="3" t="s">
        <v>70</v>
      </c>
      <c r="B19" s="10">
        <f>0.25+0.09+0.09</f>
        <v>0.42999999999999994</v>
      </c>
      <c r="C19" s="18"/>
      <c r="D19" s="3" t="s">
        <v>83</v>
      </c>
      <c r="E19" s="1">
        <v>0.89</v>
      </c>
      <c r="G19" s="6" t="s">
        <v>14</v>
      </c>
      <c r="H19" s="1">
        <f>+H10</f>
        <v>0.15</v>
      </c>
      <c r="I19" s="18"/>
      <c r="J19" s="3" t="s">
        <v>10</v>
      </c>
      <c r="K19" s="1">
        <f>+K9</f>
        <v>2.1</v>
      </c>
      <c r="L19" s="18"/>
      <c r="M19" s="7" t="s">
        <v>20</v>
      </c>
      <c r="N19" s="1">
        <f>0.25*2.53*2</f>
        <v>1.2649999999999999</v>
      </c>
      <c r="P19" s="7" t="s">
        <v>11</v>
      </c>
      <c r="Q19" s="1">
        <v>1</v>
      </c>
      <c r="S19" s="3" t="s">
        <v>3</v>
      </c>
      <c r="T19" s="1">
        <f>+T18*T17</f>
        <v>5872.5</v>
      </c>
    </row>
    <row r="20" spans="1:23" ht="15.75" x14ac:dyDescent="0.25">
      <c r="A20" s="7" t="s">
        <v>3</v>
      </c>
      <c r="B20" s="1">
        <f>+B19*B18</f>
        <v>139.74999999999997</v>
      </c>
      <c r="C20" s="18"/>
      <c r="D20" s="7" t="s">
        <v>6</v>
      </c>
      <c r="E20" s="1">
        <f>+E18*E19</f>
        <v>35.6</v>
      </c>
      <c r="G20" s="7" t="s">
        <v>6</v>
      </c>
      <c r="H20" s="1">
        <f>+(H16+H19*2)*H18*4+(H17+H19*2)*H18*4</f>
        <v>18.720000000000002</v>
      </c>
      <c r="I20" s="18"/>
      <c r="J20" s="6" t="s">
        <v>14</v>
      </c>
      <c r="K20" s="1">
        <f>+K10</f>
        <v>0.15</v>
      </c>
      <c r="L20" s="18"/>
      <c r="M20" s="7" t="s">
        <v>6</v>
      </c>
      <c r="N20" s="1">
        <f>+N19+N18+N17</f>
        <v>42.295000000000002</v>
      </c>
      <c r="P20" s="7" t="s">
        <v>3</v>
      </c>
      <c r="Q20" s="1">
        <f>+Q18*Q19*Q17</f>
        <v>43.699999999999996</v>
      </c>
      <c r="V20" s="28" t="s">
        <v>52</v>
      </c>
      <c r="W20" s="28"/>
    </row>
    <row r="21" spans="1:23" ht="15.75" x14ac:dyDescent="0.25">
      <c r="J21" s="7" t="s">
        <v>100</v>
      </c>
      <c r="K21" s="1">
        <f>0.65*1*2</f>
        <v>1.3</v>
      </c>
      <c r="M21" s="8"/>
      <c r="N21" s="9"/>
      <c r="S21" s="28" t="s">
        <v>41</v>
      </c>
      <c r="T21" s="28"/>
      <c r="V21" s="4"/>
      <c r="W21" s="5" t="s">
        <v>50</v>
      </c>
    </row>
    <row r="22" spans="1:23" ht="15.75" x14ac:dyDescent="0.25">
      <c r="A22" s="31" t="s">
        <v>119</v>
      </c>
      <c r="B22" s="32"/>
      <c r="C22" s="16"/>
      <c r="D22" s="31" t="s">
        <v>80</v>
      </c>
      <c r="E22" s="32"/>
      <c r="G22" s="25" t="s">
        <v>116</v>
      </c>
      <c r="H22" s="26"/>
      <c r="I22" s="16"/>
      <c r="J22" s="7" t="s">
        <v>6</v>
      </c>
      <c r="K22" s="1">
        <f>+(K17+K20*2)*K19*4+(K18+K20*2)*K19*4-K21</f>
        <v>27.259999999999998</v>
      </c>
      <c r="L22" s="16"/>
      <c r="M22" s="25" t="s">
        <v>117</v>
      </c>
      <c r="N22" s="26"/>
      <c r="P22" s="27" t="s">
        <v>25</v>
      </c>
      <c r="Q22" s="27"/>
      <c r="S22" s="4"/>
      <c r="T22" s="5" t="s">
        <v>43</v>
      </c>
      <c r="V22" s="3" t="s">
        <v>51</v>
      </c>
      <c r="W22" s="1">
        <v>2</v>
      </c>
    </row>
    <row r="23" spans="1:23" x14ac:dyDescent="0.25">
      <c r="A23" s="4"/>
      <c r="B23" s="5" t="s">
        <v>71</v>
      </c>
      <c r="C23" s="17"/>
      <c r="D23" s="4"/>
      <c r="E23" s="5" t="s">
        <v>84</v>
      </c>
      <c r="G23" s="4"/>
      <c r="H23" s="5" t="s">
        <v>67</v>
      </c>
      <c r="I23" s="17"/>
      <c r="L23" s="17"/>
      <c r="M23" s="4"/>
      <c r="N23" s="5" t="s">
        <v>95</v>
      </c>
      <c r="P23" s="4"/>
      <c r="Q23" s="5" t="s">
        <v>63</v>
      </c>
      <c r="S23" s="3" t="s">
        <v>39</v>
      </c>
      <c r="T23" s="1">
        <f>+(1793+466+375+1666)</f>
        <v>4300</v>
      </c>
      <c r="V23" s="3" t="s">
        <v>4</v>
      </c>
      <c r="W23" s="1">
        <f>+W22</f>
        <v>2</v>
      </c>
    </row>
    <row r="24" spans="1:23" ht="15.75" x14ac:dyDescent="0.25">
      <c r="A24" s="3" t="s">
        <v>10</v>
      </c>
      <c r="B24" s="1">
        <v>1.1499999999999999</v>
      </c>
      <c r="C24" s="18"/>
      <c r="D24" s="3" t="s">
        <v>1</v>
      </c>
      <c r="E24" s="1">
        <f>+E7</f>
        <v>40</v>
      </c>
      <c r="G24" s="3" t="s">
        <v>1</v>
      </c>
      <c r="H24" s="1">
        <f>+H16+2*H19</f>
        <v>1.3</v>
      </c>
      <c r="I24" s="18"/>
      <c r="J24" s="25" t="s">
        <v>116</v>
      </c>
      <c r="K24" s="26"/>
      <c r="L24" s="18"/>
      <c r="M24" s="3" t="s">
        <v>23</v>
      </c>
      <c r="N24" s="1">
        <v>1.83</v>
      </c>
      <c r="P24" s="3" t="s">
        <v>27</v>
      </c>
      <c r="Q24" s="1">
        <v>4</v>
      </c>
      <c r="S24" s="3" t="s">
        <v>42</v>
      </c>
      <c r="T24" s="1">
        <v>4</v>
      </c>
    </row>
    <row r="25" spans="1:23" ht="15.75" x14ac:dyDescent="0.25">
      <c r="A25" s="3" t="s">
        <v>8</v>
      </c>
      <c r="B25" s="10">
        <v>1</v>
      </c>
      <c r="C25" s="18"/>
      <c r="D25" s="3" t="s">
        <v>26</v>
      </c>
      <c r="E25" s="1">
        <v>0.2</v>
      </c>
      <c r="G25" s="3" t="s">
        <v>8</v>
      </c>
      <c r="H25" s="1">
        <f>+H17+2*H19</f>
        <v>1.3</v>
      </c>
      <c r="I25" s="18"/>
      <c r="J25" s="4"/>
      <c r="K25" s="5" t="s">
        <v>118</v>
      </c>
      <c r="L25" s="18"/>
      <c r="M25" s="3" t="s">
        <v>24</v>
      </c>
      <c r="N25" s="1">
        <v>2.5299999999999998</v>
      </c>
      <c r="P25" s="3" t="s">
        <v>26</v>
      </c>
      <c r="Q25" s="1">
        <v>2.2400000000000002</v>
      </c>
      <c r="S25" s="3" t="s">
        <v>29</v>
      </c>
      <c r="T25" s="1">
        <f>+ROUND(T23/9 *T24,0)</f>
        <v>1911</v>
      </c>
      <c r="V25" s="28" t="s">
        <v>53</v>
      </c>
      <c r="W25" s="28"/>
    </row>
    <row r="26" spans="1:23" x14ac:dyDescent="0.25">
      <c r="A26" s="3" t="s">
        <v>12</v>
      </c>
      <c r="B26" s="10">
        <v>1.2</v>
      </c>
      <c r="C26" s="18"/>
      <c r="D26" s="7" t="s">
        <v>3</v>
      </c>
      <c r="E26" s="1">
        <f>+E24*E25</f>
        <v>8</v>
      </c>
      <c r="G26" s="3" t="s">
        <v>38</v>
      </c>
      <c r="H26" s="1">
        <v>0.05</v>
      </c>
      <c r="I26" s="18"/>
      <c r="J26" s="3" t="s">
        <v>1</v>
      </c>
      <c r="K26" s="1">
        <f>+K17+2*K20</f>
        <v>1.7</v>
      </c>
      <c r="L26" s="18"/>
      <c r="M26" s="3" t="s">
        <v>10</v>
      </c>
      <c r="N26" s="1">
        <v>1.8</v>
      </c>
      <c r="P26" s="3" t="s">
        <v>8</v>
      </c>
      <c r="Q26" s="1">
        <v>1.1499999999999999</v>
      </c>
      <c r="V26" s="4"/>
      <c r="W26" s="5" t="s">
        <v>58</v>
      </c>
    </row>
    <row r="27" spans="1:23" ht="15.75" x14ac:dyDescent="0.25">
      <c r="A27" s="7" t="s">
        <v>72</v>
      </c>
      <c r="B27" s="1">
        <v>0.15</v>
      </c>
      <c r="G27" s="7" t="s">
        <v>6</v>
      </c>
      <c r="H27" s="1">
        <f>+H24*H25*H26</f>
        <v>8.450000000000002E-2</v>
      </c>
      <c r="J27" s="3" t="s">
        <v>8</v>
      </c>
      <c r="K27" s="1">
        <f>+K18+2*K20</f>
        <v>1.7</v>
      </c>
      <c r="M27" s="3" t="s">
        <v>38</v>
      </c>
      <c r="N27" s="1">
        <v>0.05</v>
      </c>
      <c r="P27" s="7" t="s">
        <v>3</v>
      </c>
      <c r="Q27" s="1">
        <f>+Q26*Q25*Q24</f>
        <v>10.304</v>
      </c>
      <c r="S27" s="28" t="s">
        <v>123</v>
      </c>
      <c r="T27" s="28"/>
      <c r="V27" s="3" t="s">
        <v>54</v>
      </c>
      <c r="W27" s="1">
        <f>0.2*0.2*0.3-(0.3*0.05/2)*0.1*4+(PI()*(0.024/2)^2/2)*0.5</f>
        <v>9.1130973355292334E-3</v>
      </c>
    </row>
    <row r="28" spans="1:23" ht="15.75" x14ac:dyDescent="0.25">
      <c r="A28" s="7"/>
      <c r="B28" s="1"/>
      <c r="G28" s="41"/>
      <c r="H28" s="15"/>
      <c r="J28" s="3" t="s">
        <v>125</v>
      </c>
      <c r="K28" s="1">
        <v>0.05</v>
      </c>
      <c r="M28" s="7" t="s">
        <v>6</v>
      </c>
      <c r="N28" s="1">
        <f>+(N24+N25)*N26*N27/2</f>
        <v>0.19619999999999999</v>
      </c>
      <c r="P28" s="41"/>
      <c r="Q28" s="15"/>
      <c r="S28" s="22"/>
      <c r="T28" s="23"/>
      <c r="V28" s="3"/>
      <c r="W28" s="1"/>
    </row>
    <row r="29" spans="1:23" ht="15.75" x14ac:dyDescent="0.25">
      <c r="A29" s="7" t="s">
        <v>73</v>
      </c>
      <c r="B29" s="1">
        <v>9</v>
      </c>
      <c r="C29" s="16"/>
      <c r="I29" s="16"/>
      <c r="J29" s="7" t="s">
        <v>6</v>
      </c>
      <c r="K29" s="1">
        <f>+K26*K27*K28</f>
        <v>0.14449999999999999</v>
      </c>
      <c r="L29" s="16"/>
      <c r="M29" s="41"/>
      <c r="N29" s="15"/>
      <c r="S29" s="40" t="s">
        <v>124</v>
      </c>
      <c r="T29" s="39"/>
      <c r="V29" s="3" t="s">
        <v>55</v>
      </c>
      <c r="W29" s="1">
        <v>0.7</v>
      </c>
    </row>
    <row r="30" spans="1:23" ht="15.75" x14ac:dyDescent="0.25">
      <c r="A30" s="7" t="s">
        <v>3</v>
      </c>
      <c r="B30" s="1">
        <f>+((B25+2*B27)*(B24+B27)*(B26+2*B27)-(B25)*(B24)*(B26)-(B25*B27*B26))*B29</f>
        <v>8.7749999999999986</v>
      </c>
      <c r="C30" s="17"/>
      <c r="D30" s="28" t="s">
        <v>32</v>
      </c>
      <c r="E30" s="28"/>
      <c r="G30" s="25" t="s">
        <v>9</v>
      </c>
      <c r="H30" s="26"/>
      <c r="I30" s="17"/>
      <c r="L30" s="17"/>
      <c r="P30" s="25" t="s">
        <v>16</v>
      </c>
      <c r="Q30" s="26"/>
      <c r="S30" s="3" t="s">
        <v>39</v>
      </c>
      <c r="T30" s="1">
        <v>11745</v>
      </c>
      <c r="V30" s="3" t="s">
        <v>56</v>
      </c>
      <c r="W30" s="1">
        <v>0.9</v>
      </c>
    </row>
    <row r="31" spans="1:23" ht="15.75" x14ac:dyDescent="0.25">
      <c r="C31" s="18"/>
      <c r="D31" s="4"/>
      <c r="E31" s="5" t="s">
        <v>85</v>
      </c>
      <c r="G31" s="4"/>
      <c r="H31" s="5" t="s">
        <v>67</v>
      </c>
      <c r="I31" s="18"/>
      <c r="J31" s="25" t="s">
        <v>9</v>
      </c>
      <c r="K31" s="26"/>
      <c r="L31" s="17"/>
      <c r="M31" s="27" t="s">
        <v>7</v>
      </c>
      <c r="N31" s="27"/>
      <c r="P31" s="4"/>
      <c r="Q31" s="5" t="s">
        <v>63</v>
      </c>
      <c r="V31" s="3" t="s">
        <v>57</v>
      </c>
      <c r="W31" s="1">
        <v>100</v>
      </c>
    </row>
    <row r="32" spans="1:23" ht="15.75" x14ac:dyDescent="0.25">
      <c r="A32" s="31" t="s">
        <v>74</v>
      </c>
      <c r="B32" s="32"/>
      <c r="C32" s="18"/>
      <c r="D32" s="3" t="s">
        <v>1</v>
      </c>
      <c r="E32" s="1">
        <v>52</v>
      </c>
      <c r="G32" s="3" t="s">
        <v>1</v>
      </c>
      <c r="H32" s="1">
        <f>+H7</f>
        <v>1</v>
      </c>
      <c r="I32" s="18"/>
      <c r="J32" s="4"/>
      <c r="K32" s="5" t="s">
        <v>118</v>
      </c>
      <c r="L32" s="17"/>
      <c r="M32" s="4"/>
      <c r="N32" s="5" t="s">
        <v>95</v>
      </c>
      <c r="P32" s="3" t="s">
        <v>27</v>
      </c>
      <c r="Q32" s="2">
        <v>4</v>
      </c>
      <c r="V32" s="6"/>
    </row>
    <row r="33" spans="1:23" ht="15.75" x14ac:dyDescent="0.25">
      <c r="A33" s="4"/>
      <c r="B33" s="5" t="s">
        <v>71</v>
      </c>
      <c r="C33" s="18"/>
      <c r="D33" s="3" t="s">
        <v>8</v>
      </c>
      <c r="E33" s="10">
        <v>0.6</v>
      </c>
      <c r="G33" s="3" t="s">
        <v>8</v>
      </c>
      <c r="H33" s="1">
        <f>+H8</f>
        <v>1</v>
      </c>
      <c r="I33" s="18"/>
      <c r="J33" s="3" t="s">
        <v>1</v>
      </c>
      <c r="K33" s="1">
        <f>+K7</f>
        <v>1.4</v>
      </c>
      <c r="L33" s="17"/>
      <c r="M33" s="3" t="s">
        <v>22</v>
      </c>
      <c r="N33" s="1">
        <f>2*2</f>
        <v>4</v>
      </c>
      <c r="P33" s="3" t="s">
        <v>1</v>
      </c>
      <c r="Q33" s="2">
        <f>5*0.5*2</f>
        <v>5</v>
      </c>
      <c r="V33" s="28" t="s">
        <v>53</v>
      </c>
      <c r="W33" s="28"/>
    </row>
    <row r="34" spans="1:23" x14ac:dyDescent="0.25">
      <c r="A34" s="3" t="s">
        <v>75</v>
      </c>
      <c r="B34" s="1">
        <f>+B29</f>
        <v>9</v>
      </c>
      <c r="D34" s="3" t="s">
        <v>31</v>
      </c>
      <c r="E34" s="10">
        <v>1.5</v>
      </c>
      <c r="G34" s="7" t="s">
        <v>10</v>
      </c>
      <c r="H34" s="1">
        <f>+H9</f>
        <v>1.8</v>
      </c>
      <c r="I34" s="18"/>
      <c r="J34" s="3" t="s">
        <v>8</v>
      </c>
      <c r="K34" s="1">
        <f>+K8</f>
        <v>1.4</v>
      </c>
      <c r="L34" s="18"/>
      <c r="M34" s="3" t="s">
        <v>89</v>
      </c>
      <c r="N34" s="1">
        <f>4.3</f>
        <v>4.3</v>
      </c>
      <c r="P34" s="3" t="s">
        <v>18</v>
      </c>
      <c r="Q34" s="2">
        <f>+PI()*(0.012/2)^2</f>
        <v>1.1309733552923255E-4</v>
      </c>
      <c r="V34" s="4"/>
      <c r="W34" s="5" t="s">
        <v>58</v>
      </c>
    </row>
    <row r="35" spans="1:23" ht="15.75" x14ac:dyDescent="0.25">
      <c r="A35" s="3" t="s">
        <v>29</v>
      </c>
      <c r="B35" s="1">
        <f>+B34</f>
        <v>9</v>
      </c>
      <c r="C35" s="16"/>
      <c r="D35" s="7" t="s">
        <v>3</v>
      </c>
      <c r="E35" s="1">
        <f>+E34*E33*E32</f>
        <v>46.8</v>
      </c>
      <c r="G35" s="6" t="s">
        <v>14</v>
      </c>
      <c r="H35" s="1">
        <f>+H10</f>
        <v>0.15</v>
      </c>
      <c r="I35" s="18"/>
      <c r="J35" s="7" t="s">
        <v>10</v>
      </c>
      <c r="K35" s="1">
        <f>+K9</f>
        <v>2.1</v>
      </c>
      <c r="M35" s="3" t="s">
        <v>21</v>
      </c>
      <c r="N35" s="1">
        <f>1.5*1.54</f>
        <v>2.31</v>
      </c>
      <c r="P35" s="3" t="s">
        <v>19</v>
      </c>
      <c r="Q35" s="2">
        <v>7850</v>
      </c>
      <c r="V35" s="3" t="s">
        <v>57</v>
      </c>
      <c r="W35" s="1">
        <v>100</v>
      </c>
    </row>
    <row r="36" spans="1:23" ht="15.75" x14ac:dyDescent="0.25">
      <c r="C36" s="17"/>
      <c r="G36" s="7" t="s">
        <v>3</v>
      </c>
      <c r="H36" s="1">
        <f>+(H32+H35*2)*(H33+H35*2)*(H34+H35)</f>
        <v>3.2955000000000001</v>
      </c>
      <c r="J36" s="6" t="s">
        <v>14</v>
      </c>
      <c r="K36" s="1">
        <f>+K10</f>
        <v>0.15</v>
      </c>
      <c r="L36" s="16"/>
      <c r="M36" s="7" t="s">
        <v>90</v>
      </c>
      <c r="N36" s="1">
        <f>2.53*0.25</f>
        <v>0.63249999999999995</v>
      </c>
      <c r="P36" s="7" t="s">
        <v>17</v>
      </c>
      <c r="Q36" s="1">
        <f>+Q35*Q34*Q33*Q32</f>
        <v>17.756281678089508</v>
      </c>
      <c r="V36" s="3" t="s">
        <v>29</v>
      </c>
      <c r="W36" s="1">
        <v>100</v>
      </c>
    </row>
    <row r="37" spans="1:23" ht="15.75" x14ac:dyDescent="0.25">
      <c r="A37" s="31" t="s">
        <v>78</v>
      </c>
      <c r="B37" s="32"/>
      <c r="C37" s="18"/>
      <c r="D37" s="28" t="s">
        <v>33</v>
      </c>
      <c r="E37" s="28"/>
      <c r="I37" s="16"/>
      <c r="J37" s="7" t="s">
        <v>3</v>
      </c>
      <c r="K37" s="1">
        <f>+(K33+K36*2)*(K34+K36*2)*(K35+K36)</f>
        <v>6.5024999999999995</v>
      </c>
      <c r="L37" s="17"/>
      <c r="M37" s="7" t="s">
        <v>96</v>
      </c>
      <c r="N37" s="1">
        <f>0.5*0.86*2</f>
        <v>0.86</v>
      </c>
      <c r="V37" s="12"/>
      <c r="W37" s="13"/>
    </row>
    <row r="38" spans="1:23" ht="15.75" x14ac:dyDescent="0.25">
      <c r="A38" s="4"/>
      <c r="B38" s="5" t="s">
        <v>71</v>
      </c>
      <c r="C38" s="18"/>
      <c r="D38" s="4"/>
      <c r="E38" s="5" t="s">
        <v>30</v>
      </c>
      <c r="G38" s="25" t="s">
        <v>87</v>
      </c>
      <c r="H38" s="26"/>
      <c r="I38" s="17"/>
      <c r="L38" s="17"/>
      <c r="M38" s="7" t="s">
        <v>6</v>
      </c>
      <c r="N38" s="1">
        <f>+N33+N34+N35+N36+N37</f>
        <v>12.102500000000001</v>
      </c>
      <c r="P38" s="28" t="s">
        <v>60</v>
      </c>
      <c r="Q38" s="28"/>
      <c r="V38" s="14"/>
      <c r="W38" s="15"/>
    </row>
    <row r="39" spans="1:23" ht="15.75" x14ac:dyDescent="0.25">
      <c r="A39" s="3" t="s">
        <v>77</v>
      </c>
      <c r="B39" s="1">
        <f>ROUND(0.6/0.07,0)</f>
        <v>9</v>
      </c>
      <c r="C39" s="18"/>
      <c r="D39" s="3" t="s">
        <v>1</v>
      </c>
      <c r="E39" s="1">
        <f>+E32</f>
        <v>52</v>
      </c>
      <c r="G39" s="4"/>
      <c r="H39" s="5" t="s">
        <v>67</v>
      </c>
      <c r="I39" s="18"/>
      <c r="J39" s="25" t="s">
        <v>7</v>
      </c>
      <c r="K39" s="26"/>
      <c r="L39" s="17"/>
      <c r="P39" s="4"/>
      <c r="Q39" s="5" t="s">
        <v>61</v>
      </c>
    </row>
    <row r="40" spans="1:23" ht="15.75" x14ac:dyDescent="0.25">
      <c r="A40" s="3" t="s">
        <v>1</v>
      </c>
      <c r="B40" s="1">
        <v>0.5</v>
      </c>
      <c r="C40" s="18"/>
      <c r="D40" s="7" t="s">
        <v>4</v>
      </c>
      <c r="E40" s="1">
        <f>+E39</f>
        <v>52</v>
      </c>
      <c r="G40" s="3" t="s">
        <v>75</v>
      </c>
      <c r="H40" s="1">
        <v>1</v>
      </c>
      <c r="I40" s="18"/>
      <c r="J40" s="4"/>
      <c r="K40" s="5" t="s">
        <v>118</v>
      </c>
      <c r="L40" s="17"/>
      <c r="M40" s="25" t="s">
        <v>9</v>
      </c>
      <c r="N40" s="26"/>
      <c r="P40" s="3" t="s">
        <v>12</v>
      </c>
      <c r="Q40" s="1">
        <v>6.35</v>
      </c>
    </row>
    <row r="41" spans="1:23" x14ac:dyDescent="0.25">
      <c r="A41" s="3" t="s">
        <v>18</v>
      </c>
      <c r="B41" s="10">
        <f>+PI()*(0.02/2)^2</f>
        <v>3.1415926535897931E-4</v>
      </c>
      <c r="G41" s="3" t="s">
        <v>29</v>
      </c>
      <c r="H41" s="1">
        <v>1</v>
      </c>
      <c r="J41" s="3" t="s">
        <v>12</v>
      </c>
      <c r="K41" s="1">
        <f>+K33</f>
        <v>1.4</v>
      </c>
      <c r="L41" s="17"/>
      <c r="M41" s="4"/>
      <c r="N41" s="5" t="s">
        <v>95</v>
      </c>
      <c r="P41" s="3" t="s">
        <v>13</v>
      </c>
      <c r="Q41" s="1">
        <v>0.8</v>
      </c>
    </row>
    <row r="42" spans="1:23" ht="15.75" x14ac:dyDescent="0.25">
      <c r="A42" s="3" t="s">
        <v>19</v>
      </c>
      <c r="B42" s="10">
        <v>7850</v>
      </c>
      <c r="C42" s="16"/>
      <c r="D42" s="28" t="s">
        <v>34</v>
      </c>
      <c r="E42" s="28"/>
      <c r="I42" s="16"/>
      <c r="J42" s="3" t="s">
        <v>13</v>
      </c>
      <c r="K42" s="1">
        <f>+K33</f>
        <v>1.4</v>
      </c>
      <c r="L42" s="18"/>
      <c r="M42" s="3" t="s">
        <v>1</v>
      </c>
      <c r="N42" s="1">
        <v>1.8</v>
      </c>
      <c r="P42" s="3" t="s">
        <v>10</v>
      </c>
      <c r="Q42" s="1">
        <v>0.5</v>
      </c>
    </row>
    <row r="43" spans="1:23" ht="15.75" x14ac:dyDescent="0.25">
      <c r="A43" s="7" t="s">
        <v>73</v>
      </c>
      <c r="B43" s="1">
        <f>+B29</f>
        <v>9</v>
      </c>
      <c r="C43" s="17"/>
      <c r="D43" s="4"/>
      <c r="E43" s="5" t="s">
        <v>30</v>
      </c>
      <c r="G43" s="25" t="s">
        <v>7</v>
      </c>
      <c r="H43" s="26"/>
      <c r="I43" s="17"/>
      <c r="J43" s="3" t="s">
        <v>10</v>
      </c>
      <c r="K43" s="1">
        <f>+K35</f>
        <v>2.1</v>
      </c>
      <c r="M43" s="3" t="s">
        <v>8</v>
      </c>
      <c r="N43" s="1">
        <v>2.5299999999999998</v>
      </c>
      <c r="P43" s="6" t="s">
        <v>14</v>
      </c>
      <c r="Q43" s="1">
        <v>0.15</v>
      </c>
    </row>
    <row r="44" spans="1:23" ht="15.75" x14ac:dyDescent="0.25">
      <c r="A44" s="7" t="s">
        <v>17</v>
      </c>
      <c r="B44" s="1">
        <f>+B42*B41*B40*B39*B43</f>
        <v>99.879084439253489</v>
      </c>
      <c r="C44" s="17"/>
      <c r="D44" s="3" t="s">
        <v>1</v>
      </c>
      <c r="E44" s="1">
        <f>+E32</f>
        <v>52</v>
      </c>
      <c r="G44" s="4"/>
      <c r="H44" s="5" t="s">
        <v>67</v>
      </c>
      <c r="I44" s="18"/>
      <c r="J44" s="6" t="s">
        <v>14</v>
      </c>
      <c r="K44" s="1">
        <f>+K36</f>
        <v>0.15</v>
      </c>
      <c r="L44" s="16"/>
      <c r="M44" s="7" t="s">
        <v>10</v>
      </c>
      <c r="N44" s="1">
        <v>1.7</v>
      </c>
      <c r="P44" s="7" t="s">
        <v>3</v>
      </c>
      <c r="Q44" s="1">
        <f>+((Q41+2*Q43)*(Q42+1*Q43)-(Q41*Q42))*Q40</f>
        <v>2.0002500000000003</v>
      </c>
    </row>
    <row r="45" spans="1:23" x14ac:dyDescent="0.25">
      <c r="C45" s="17"/>
      <c r="D45" s="3" t="s">
        <v>8</v>
      </c>
      <c r="E45" s="10">
        <v>0.6</v>
      </c>
      <c r="G45" s="3" t="s">
        <v>12</v>
      </c>
      <c r="H45" s="1">
        <v>1</v>
      </c>
      <c r="I45" s="18"/>
      <c r="J45" s="7" t="s">
        <v>100</v>
      </c>
      <c r="K45" s="1">
        <f>0.65*1*2</f>
        <v>1.3</v>
      </c>
      <c r="L45" s="17"/>
      <c r="M45" s="7" t="s">
        <v>3</v>
      </c>
      <c r="N45" s="1">
        <f>+N42*N43*N44</f>
        <v>7.7417999999999987</v>
      </c>
    </row>
    <row r="46" spans="1:23" ht="15.75" x14ac:dyDescent="0.25">
      <c r="A46" s="31" t="s">
        <v>79</v>
      </c>
      <c r="B46" s="32"/>
      <c r="C46" s="18"/>
      <c r="D46" s="3" t="s">
        <v>31</v>
      </c>
      <c r="E46" s="10">
        <v>1.5</v>
      </c>
      <c r="G46" s="3" t="s">
        <v>13</v>
      </c>
      <c r="H46" s="1">
        <v>1</v>
      </c>
      <c r="I46" s="18"/>
      <c r="J46" s="7" t="s">
        <v>6</v>
      </c>
      <c r="K46" s="1">
        <f>+K41*K43*2+K42*K43*2+K41*K42*1.1-K45</f>
        <v>12.616</v>
      </c>
      <c r="L46" s="18"/>
      <c r="P46" s="28" t="s">
        <v>7</v>
      </c>
      <c r="Q46" s="28"/>
    </row>
    <row r="47" spans="1:23" x14ac:dyDescent="0.25">
      <c r="A47" s="4"/>
      <c r="B47" s="5" t="s">
        <v>71</v>
      </c>
      <c r="D47" s="7" t="s">
        <v>6</v>
      </c>
      <c r="E47" s="1">
        <f>+(E45*3+E46*2)*E44</f>
        <v>249.6</v>
      </c>
      <c r="G47" s="3" t="s">
        <v>10</v>
      </c>
      <c r="H47" s="1">
        <v>1.8</v>
      </c>
      <c r="I47" s="18"/>
      <c r="L47" s="18"/>
      <c r="P47" s="4"/>
      <c r="Q47" s="5" t="s">
        <v>61</v>
      </c>
    </row>
    <row r="48" spans="1:23" ht="15.75" x14ac:dyDescent="0.25">
      <c r="A48" s="3" t="s">
        <v>77</v>
      </c>
      <c r="B48" s="1">
        <f>+ROUND(B24/0.2,0)*2</f>
        <v>12</v>
      </c>
      <c r="C48" s="16"/>
      <c r="G48" s="6" t="s">
        <v>14</v>
      </c>
      <c r="H48" s="1">
        <v>0.15</v>
      </c>
      <c r="I48" s="18"/>
      <c r="J48" s="25" t="s">
        <v>103</v>
      </c>
      <c r="K48" s="26"/>
      <c r="L48" s="18"/>
      <c r="P48" s="3" t="s">
        <v>89</v>
      </c>
      <c r="Q48" s="1">
        <f>6.3*0.8</f>
        <v>5.04</v>
      </c>
    </row>
    <row r="49" spans="1:18" ht="15" customHeight="1" x14ac:dyDescent="0.25">
      <c r="A49" s="3" t="s">
        <v>1</v>
      </c>
      <c r="B49" s="1">
        <v>0.4</v>
      </c>
      <c r="C49" s="17"/>
      <c r="G49" s="7" t="s">
        <v>6</v>
      </c>
      <c r="H49" s="1">
        <f>+H45*H47*2+H46*H47*2+H45*H46*1.1</f>
        <v>8.3000000000000007</v>
      </c>
      <c r="J49" s="4"/>
      <c r="K49" s="5" t="s">
        <v>120</v>
      </c>
      <c r="L49" s="18"/>
      <c r="P49" s="3" t="s">
        <v>108</v>
      </c>
      <c r="Q49" s="1">
        <f>2.3*2</f>
        <v>4.5999999999999996</v>
      </c>
    </row>
    <row r="50" spans="1:18" ht="15.75" x14ac:dyDescent="0.25">
      <c r="A50" s="3" t="s">
        <v>18</v>
      </c>
      <c r="B50" s="10">
        <f>+PI()*(0.0127/2)^2</f>
        <v>1.2667686977437442E-4</v>
      </c>
      <c r="C50" s="17"/>
      <c r="I50" s="16"/>
      <c r="J50" s="3" t="s">
        <v>28</v>
      </c>
      <c r="K50" s="1">
        <f>ROUND(0.65/0.07,0)+1</f>
        <v>10</v>
      </c>
      <c r="L50" s="18"/>
      <c r="P50" s="7" t="s">
        <v>6</v>
      </c>
      <c r="Q50" s="1">
        <f>+Q49+Q48</f>
        <v>9.64</v>
      </c>
      <c r="R50" s="38">
        <f>+Q50+Q72</f>
        <v>45.59</v>
      </c>
    </row>
    <row r="51" spans="1:18" ht="15.75" x14ac:dyDescent="0.25">
      <c r="A51" s="3" t="s">
        <v>19</v>
      </c>
      <c r="B51" s="10">
        <v>7850</v>
      </c>
      <c r="C51" s="17"/>
      <c r="G51" s="31" t="s">
        <v>88</v>
      </c>
      <c r="H51" s="32"/>
      <c r="I51" s="17"/>
      <c r="J51" s="3" t="s">
        <v>1</v>
      </c>
      <c r="K51" s="1">
        <v>0.9</v>
      </c>
    </row>
    <row r="52" spans="1:18" ht="15.75" x14ac:dyDescent="0.25">
      <c r="A52" s="7" t="s">
        <v>73</v>
      </c>
      <c r="B52" s="1">
        <f>+B43</f>
        <v>9</v>
      </c>
      <c r="C52" s="18"/>
      <c r="G52" s="4"/>
      <c r="H52" s="5" t="s">
        <v>67</v>
      </c>
      <c r="I52" s="18"/>
      <c r="J52" s="3" t="s">
        <v>18</v>
      </c>
      <c r="K52" s="10">
        <f>+PI()*(0.02/2)^2</f>
        <v>3.1415926535897931E-4</v>
      </c>
      <c r="L52" s="16"/>
      <c r="P52" s="28" t="s">
        <v>5</v>
      </c>
      <c r="Q52" s="28"/>
    </row>
    <row r="53" spans="1:18" x14ac:dyDescent="0.25">
      <c r="A53" s="7" t="s">
        <v>17</v>
      </c>
      <c r="B53" s="1">
        <f>+B51*B50*B49*B48*B52</f>
        <v>42.95866007788586</v>
      </c>
      <c r="G53" s="3" t="s">
        <v>75</v>
      </c>
      <c r="H53" s="1">
        <v>1</v>
      </c>
      <c r="I53" s="18"/>
      <c r="J53" s="3" t="s">
        <v>19</v>
      </c>
      <c r="K53" s="10">
        <v>7850</v>
      </c>
      <c r="L53" s="17"/>
      <c r="P53" s="4"/>
      <c r="Q53" s="5" t="s">
        <v>61</v>
      </c>
    </row>
    <row r="54" spans="1:18" ht="15.75" x14ac:dyDescent="0.25">
      <c r="C54" s="16"/>
      <c r="G54" s="3" t="s">
        <v>29</v>
      </c>
      <c r="H54" s="1">
        <v>1</v>
      </c>
      <c r="J54" s="3" t="s">
        <v>101</v>
      </c>
      <c r="K54" s="10">
        <v>2</v>
      </c>
      <c r="L54" s="18"/>
      <c r="P54" s="3" t="s">
        <v>108</v>
      </c>
      <c r="Q54" s="1">
        <f>4.6*4</f>
        <v>18.399999999999999</v>
      </c>
    </row>
    <row r="55" spans="1:18" ht="15.75" x14ac:dyDescent="0.25">
      <c r="A55" s="31" t="s">
        <v>5</v>
      </c>
      <c r="B55" s="32"/>
      <c r="C55" s="17"/>
      <c r="J55" s="3" t="s">
        <v>17</v>
      </c>
      <c r="K55" s="1">
        <f>+K53*K52*K51*K50*K54</f>
        <v>44.390704195223776</v>
      </c>
      <c r="L55" s="18"/>
      <c r="P55" s="7" t="s">
        <v>6</v>
      </c>
      <c r="Q55" s="1">
        <f>+Q54</f>
        <v>18.399999999999999</v>
      </c>
      <c r="R55" s="38">
        <f>+Q55+Q78</f>
        <v>74.16</v>
      </c>
    </row>
    <row r="56" spans="1:18" x14ac:dyDescent="0.25">
      <c r="A56" s="4"/>
      <c r="B56" s="5" t="s">
        <v>71</v>
      </c>
      <c r="C56" s="18"/>
      <c r="L56" s="17"/>
    </row>
    <row r="57" spans="1:18" ht="15.75" x14ac:dyDescent="0.25">
      <c r="A57" s="3" t="s">
        <v>10</v>
      </c>
      <c r="B57" s="1">
        <v>1.1499999999999999</v>
      </c>
      <c r="C57" s="18"/>
      <c r="J57" s="25" t="s">
        <v>102</v>
      </c>
      <c r="K57" s="26"/>
      <c r="L57" s="17"/>
      <c r="P57" s="28" t="s">
        <v>60</v>
      </c>
      <c r="Q57" s="28"/>
    </row>
    <row r="58" spans="1:18" x14ac:dyDescent="0.25">
      <c r="A58" s="3" t="s">
        <v>8</v>
      </c>
      <c r="B58" s="10">
        <v>1</v>
      </c>
      <c r="C58" s="17"/>
      <c r="J58" s="4"/>
      <c r="K58" s="5" t="s">
        <v>120</v>
      </c>
      <c r="L58" s="18"/>
      <c r="P58" s="4"/>
      <c r="Q58" s="5" t="s">
        <v>112</v>
      </c>
    </row>
    <row r="59" spans="1:18" x14ac:dyDescent="0.25">
      <c r="A59" s="3" t="s">
        <v>12</v>
      </c>
      <c r="B59" s="10">
        <v>1.2</v>
      </c>
      <c r="C59" s="17"/>
      <c r="J59" s="3" t="s">
        <v>76</v>
      </c>
      <c r="K59" s="1">
        <v>14</v>
      </c>
      <c r="P59" s="3" t="s">
        <v>109</v>
      </c>
      <c r="Q59" s="1">
        <v>1.71</v>
      </c>
    </row>
    <row r="60" spans="1:18" ht="15.75" x14ac:dyDescent="0.25">
      <c r="A60" s="7" t="s">
        <v>72</v>
      </c>
      <c r="B60" s="1">
        <v>0.15</v>
      </c>
      <c r="C60" s="18"/>
      <c r="J60" s="3" t="s">
        <v>1</v>
      </c>
      <c r="K60" s="1">
        <v>1.6</v>
      </c>
      <c r="L60" s="16"/>
      <c r="P60" s="3" t="s">
        <v>108</v>
      </c>
      <c r="Q60" s="1">
        <v>11.6</v>
      </c>
    </row>
    <row r="61" spans="1:18" x14ac:dyDescent="0.25">
      <c r="A61" s="7" t="s">
        <v>73</v>
      </c>
      <c r="B61" s="1">
        <v>9</v>
      </c>
      <c r="J61" s="3" t="s">
        <v>18</v>
      </c>
      <c r="K61" s="10">
        <f>+PI()*(0.02/2)^2</f>
        <v>3.1415926535897931E-4</v>
      </c>
      <c r="L61" s="17"/>
      <c r="P61" s="3" t="s">
        <v>8</v>
      </c>
      <c r="Q61" s="1">
        <v>1.1000000000000001</v>
      </c>
    </row>
    <row r="62" spans="1:18" ht="15.75" x14ac:dyDescent="0.25">
      <c r="A62" s="7" t="s">
        <v>6</v>
      </c>
      <c r="B62" s="1">
        <f>+(((B57+B60)*4)*(B59+2*B60)+((B58+2*B60)*(B57+B60)))*B61</f>
        <v>85.409999999999982</v>
      </c>
      <c r="C62" s="16"/>
      <c r="J62" s="3" t="s">
        <v>19</v>
      </c>
      <c r="K62" s="10">
        <v>7850</v>
      </c>
      <c r="L62" s="18"/>
      <c r="P62" s="3" t="s">
        <v>14</v>
      </c>
      <c r="Q62" s="1">
        <v>0.15</v>
      </c>
    </row>
    <row r="63" spans="1:18" x14ac:dyDescent="0.25">
      <c r="C63" s="17"/>
      <c r="J63" s="3" t="s">
        <v>17</v>
      </c>
      <c r="K63" s="1">
        <f>+K62*K61*K60*K59</f>
        <v>55.241765220722918</v>
      </c>
      <c r="L63" s="18"/>
      <c r="P63" s="3" t="s">
        <v>107</v>
      </c>
      <c r="Q63" s="1">
        <f>0.4*0.15*0.8</f>
        <v>4.8000000000000001E-2</v>
      </c>
    </row>
    <row r="64" spans="1:18" ht="15.75" x14ac:dyDescent="0.25">
      <c r="A64" s="31" t="s">
        <v>80</v>
      </c>
      <c r="B64" s="32"/>
      <c r="C64" s="18"/>
      <c r="L64" s="18"/>
      <c r="P64" s="3" t="s">
        <v>3</v>
      </c>
      <c r="Q64" s="1">
        <f>+Q59*Q61+Q60*Q62*2+Q63</f>
        <v>5.4089999999999998</v>
      </c>
    </row>
    <row r="65" spans="1:17" hidden="1" x14ac:dyDescent="0.25">
      <c r="A65" s="4"/>
      <c r="B65" s="5" t="s">
        <v>71</v>
      </c>
      <c r="C65" s="17"/>
      <c r="L65" s="18"/>
    </row>
    <row r="66" spans="1:17" ht="15.75" x14ac:dyDescent="0.25">
      <c r="A66" s="3" t="s">
        <v>10</v>
      </c>
      <c r="B66" s="1">
        <v>1.1499999999999999</v>
      </c>
      <c r="C66" s="17"/>
      <c r="L66" s="18"/>
      <c r="P66" s="31" t="s">
        <v>7</v>
      </c>
      <c r="Q66" s="32"/>
    </row>
    <row r="67" spans="1:17" x14ac:dyDescent="0.25">
      <c r="A67" s="3" t="s">
        <v>8</v>
      </c>
      <c r="B67" s="10">
        <v>1</v>
      </c>
      <c r="C67" s="18"/>
      <c r="L67" s="18"/>
      <c r="P67" s="4"/>
      <c r="Q67" s="5" t="s">
        <v>112</v>
      </c>
    </row>
    <row r="68" spans="1:17" x14ac:dyDescent="0.25">
      <c r="A68" s="3" t="s">
        <v>12</v>
      </c>
      <c r="B68" s="10">
        <v>1.2</v>
      </c>
      <c r="L68" s="18"/>
      <c r="P68" s="3" t="s">
        <v>110</v>
      </c>
      <c r="Q68" s="1">
        <v>11.3</v>
      </c>
    </row>
    <row r="69" spans="1:17" ht="15.75" x14ac:dyDescent="0.25">
      <c r="A69" s="7" t="s">
        <v>72</v>
      </c>
      <c r="B69" s="1">
        <v>0.15</v>
      </c>
      <c r="C69" s="16"/>
      <c r="P69" s="3" t="s">
        <v>108</v>
      </c>
      <c r="Q69" s="1">
        <v>11.6</v>
      </c>
    </row>
    <row r="70" spans="1:17" ht="15.75" x14ac:dyDescent="0.25">
      <c r="A70" s="7" t="s">
        <v>73</v>
      </c>
      <c r="B70" s="1">
        <v>9</v>
      </c>
      <c r="C70" s="17"/>
      <c r="L70" s="16"/>
      <c r="P70" s="3" t="s">
        <v>8</v>
      </c>
      <c r="Q70" s="1">
        <v>1.1000000000000001</v>
      </c>
    </row>
    <row r="71" spans="1:17" x14ac:dyDescent="0.25">
      <c r="A71" s="7" t="s">
        <v>3</v>
      </c>
      <c r="B71" s="1">
        <f>+((B66+B69)*(B67+2*B69)*(B68+2*B69))*B70</f>
        <v>22.814999999999998</v>
      </c>
      <c r="C71" s="18"/>
      <c r="L71" s="17"/>
      <c r="P71" s="3" t="s">
        <v>111</v>
      </c>
      <c r="Q71" s="1">
        <f>0.4*0.8</f>
        <v>0.32000000000000006</v>
      </c>
    </row>
    <row r="72" spans="1:17" x14ac:dyDescent="0.25">
      <c r="C72" s="18"/>
      <c r="L72" s="18"/>
      <c r="P72" s="3" t="s">
        <v>6</v>
      </c>
      <c r="Q72" s="1">
        <f>+Q68*Q70+Q69*2+Q71</f>
        <v>35.950000000000003</v>
      </c>
    </row>
    <row r="73" spans="1:17" x14ac:dyDescent="0.25">
      <c r="L73" s="17"/>
    </row>
    <row r="74" spans="1:17" ht="15.75" x14ac:dyDescent="0.25">
      <c r="C74" s="16"/>
      <c r="L74" s="17"/>
      <c r="P74" s="31" t="s">
        <v>5</v>
      </c>
      <c r="Q74" s="32"/>
    </row>
    <row r="75" spans="1:17" x14ac:dyDescent="0.25">
      <c r="C75" s="17"/>
      <c r="L75" s="18"/>
      <c r="P75" s="4"/>
      <c r="Q75" s="5" t="s">
        <v>112</v>
      </c>
    </row>
    <row r="76" spans="1:17" x14ac:dyDescent="0.25">
      <c r="C76" s="18"/>
      <c r="L76" s="17"/>
      <c r="P76" s="3" t="s">
        <v>113</v>
      </c>
      <c r="Q76" s="1">
        <f>13.3*4</f>
        <v>53.2</v>
      </c>
    </row>
    <row r="77" spans="1:17" ht="15.75" x14ac:dyDescent="0.25">
      <c r="C77" s="17"/>
      <c r="L77" s="16"/>
      <c r="P77" s="3" t="s">
        <v>20</v>
      </c>
      <c r="Q77" s="1">
        <f>0.8*0.8*4</f>
        <v>2.5600000000000005</v>
      </c>
    </row>
    <row r="78" spans="1:17" x14ac:dyDescent="0.25">
      <c r="C78" s="17"/>
      <c r="L78" s="17"/>
      <c r="P78" s="3" t="s">
        <v>6</v>
      </c>
      <c r="Q78" s="1">
        <f>+Q76+Q77</f>
        <v>55.760000000000005</v>
      </c>
    </row>
    <row r="79" spans="1:17" x14ac:dyDescent="0.25">
      <c r="C79" s="18"/>
      <c r="L79" s="18"/>
      <c r="Q79" t="s">
        <v>114</v>
      </c>
    </row>
    <row r="80" spans="1:17" ht="15.75" x14ac:dyDescent="0.25">
      <c r="L80" s="18"/>
      <c r="P80" s="28" t="s">
        <v>9</v>
      </c>
      <c r="Q80" s="28"/>
    </row>
    <row r="81" spans="12:17" x14ac:dyDescent="0.25">
      <c r="L81" s="18"/>
      <c r="P81" s="4"/>
      <c r="Q81" s="5" t="s">
        <v>112</v>
      </c>
    </row>
    <row r="82" spans="12:17" x14ac:dyDescent="0.25">
      <c r="L82" s="18"/>
      <c r="P82" s="3" t="s">
        <v>1</v>
      </c>
      <c r="Q82" s="1">
        <v>11.3</v>
      </c>
    </row>
    <row r="83" spans="12:17" x14ac:dyDescent="0.25">
      <c r="P83" s="3" t="s">
        <v>8</v>
      </c>
      <c r="Q83" s="1">
        <v>1.1000000000000001</v>
      </c>
    </row>
    <row r="84" spans="12:17" ht="15.75" x14ac:dyDescent="0.25">
      <c r="L84" s="16"/>
      <c r="P84" s="7" t="s">
        <v>11</v>
      </c>
      <c r="Q84" s="1">
        <v>1.2</v>
      </c>
    </row>
    <row r="85" spans="12:17" x14ac:dyDescent="0.25">
      <c r="L85" s="17"/>
      <c r="P85" s="7" t="s">
        <v>3</v>
      </c>
      <c r="Q85" s="1">
        <f>+Q83*Q84*Q82</f>
        <v>14.916000000000002</v>
      </c>
    </row>
    <row r="86" spans="12:17" x14ac:dyDescent="0.25">
      <c r="L86" s="17"/>
    </row>
    <row r="87" spans="12:17" ht="15.75" x14ac:dyDescent="0.25">
      <c r="L87" s="17"/>
      <c r="P87" s="25" t="s">
        <v>117</v>
      </c>
      <c r="Q87" s="26"/>
    </row>
    <row r="88" spans="12:17" x14ac:dyDescent="0.25">
      <c r="L88" s="17"/>
      <c r="P88" s="4"/>
      <c r="Q88" s="5" t="s">
        <v>67</v>
      </c>
    </row>
    <row r="89" spans="12:17" x14ac:dyDescent="0.25">
      <c r="L89" s="18"/>
      <c r="P89" s="3" t="s">
        <v>1</v>
      </c>
      <c r="Q89" s="1">
        <f>+Q82</f>
        <v>11.3</v>
      </c>
    </row>
    <row r="90" spans="12:17" x14ac:dyDescent="0.25">
      <c r="P90" s="3" t="s">
        <v>8</v>
      </c>
      <c r="Q90" s="1">
        <f>+Q83</f>
        <v>1.1000000000000001</v>
      </c>
    </row>
    <row r="91" spans="12:17" ht="15.75" x14ac:dyDescent="0.25">
      <c r="L91" s="16"/>
      <c r="P91" s="3" t="s">
        <v>38</v>
      </c>
      <c r="Q91" s="1">
        <v>0.05</v>
      </c>
    </row>
    <row r="92" spans="12:17" x14ac:dyDescent="0.25">
      <c r="L92" s="17"/>
      <c r="P92" s="7" t="s">
        <v>6</v>
      </c>
      <c r="Q92" s="1">
        <f>+Q89*Q90*Q91</f>
        <v>0.62150000000000016</v>
      </c>
    </row>
    <row r="93" spans="12:17" x14ac:dyDescent="0.25">
      <c r="L93" s="18"/>
    </row>
    <row r="94" spans="12:17" x14ac:dyDescent="0.25">
      <c r="L94" s="18"/>
    </row>
    <row r="95" spans="12:17" x14ac:dyDescent="0.25">
      <c r="L95" s="18"/>
      <c r="Q95" s="38">
        <f>+Q85+Q20</f>
        <v>58.616</v>
      </c>
    </row>
    <row r="96" spans="12:17" x14ac:dyDescent="0.25">
      <c r="L96" s="18"/>
    </row>
    <row r="97" spans="13:14" x14ac:dyDescent="0.25">
      <c r="M97" t="s">
        <v>122</v>
      </c>
      <c r="N97" s="38">
        <f>+N45+Q20+Q85</f>
        <v>66.357799999999997</v>
      </c>
    </row>
  </sheetData>
  <mergeCells count="80">
    <mergeCell ref="P4:Q4"/>
    <mergeCell ref="J4:K4"/>
    <mergeCell ref="D4:E4"/>
    <mergeCell ref="D2:E2"/>
    <mergeCell ref="D16:E16"/>
    <mergeCell ref="P5:Q5"/>
    <mergeCell ref="G5:H5"/>
    <mergeCell ref="M2:N2"/>
    <mergeCell ref="M3:N3"/>
    <mergeCell ref="M5:N5"/>
    <mergeCell ref="J2:K2"/>
    <mergeCell ref="J3:K3"/>
    <mergeCell ref="J5:K5"/>
    <mergeCell ref="M4:N4"/>
    <mergeCell ref="G3:H3"/>
    <mergeCell ref="P3:Q3"/>
    <mergeCell ref="D22:E22"/>
    <mergeCell ref="D10:E10"/>
    <mergeCell ref="P66:Q66"/>
    <mergeCell ref="P74:Q74"/>
    <mergeCell ref="P80:Q80"/>
    <mergeCell ref="D42:E42"/>
    <mergeCell ref="A10:B10"/>
    <mergeCell ref="A16:B16"/>
    <mergeCell ref="D30:E30"/>
    <mergeCell ref="D37:E37"/>
    <mergeCell ref="A46:B46"/>
    <mergeCell ref="A55:B55"/>
    <mergeCell ref="A64:B64"/>
    <mergeCell ref="A32:B32"/>
    <mergeCell ref="A37:B37"/>
    <mergeCell ref="G43:H43"/>
    <mergeCell ref="G51:H51"/>
    <mergeCell ref="J39:K39"/>
    <mergeCell ref="J48:K48"/>
    <mergeCell ref="J57:K57"/>
    <mergeCell ref="P10:Q10"/>
    <mergeCell ref="P15:Q15"/>
    <mergeCell ref="G22:H22"/>
    <mergeCell ref="J24:K24"/>
    <mergeCell ref="J31:K31"/>
    <mergeCell ref="S21:T21"/>
    <mergeCell ref="G30:H30"/>
    <mergeCell ref="G38:H38"/>
    <mergeCell ref="G14:H14"/>
    <mergeCell ref="J15:K15"/>
    <mergeCell ref="S27:T27"/>
    <mergeCell ref="S29:T29"/>
    <mergeCell ref="V2:W2"/>
    <mergeCell ref="P46:Q46"/>
    <mergeCell ref="P52:Q52"/>
    <mergeCell ref="P57:Q57"/>
    <mergeCell ref="A2:B2"/>
    <mergeCell ref="G2:H2"/>
    <mergeCell ref="S5:T5"/>
    <mergeCell ref="D5:E5"/>
    <mergeCell ref="A5:B5"/>
    <mergeCell ref="P2:Q2"/>
    <mergeCell ref="S2:T2"/>
    <mergeCell ref="V5:W5"/>
    <mergeCell ref="V10:W10"/>
    <mergeCell ref="D3:E3"/>
    <mergeCell ref="A3:B3"/>
    <mergeCell ref="A22:B22"/>
    <mergeCell ref="S3:T3"/>
    <mergeCell ref="V3:W3"/>
    <mergeCell ref="P87:Q87"/>
    <mergeCell ref="M15:N15"/>
    <mergeCell ref="M22:N22"/>
    <mergeCell ref="M31:N31"/>
    <mergeCell ref="M40:N40"/>
    <mergeCell ref="V15:W15"/>
    <mergeCell ref="V20:W20"/>
    <mergeCell ref="P22:Q22"/>
    <mergeCell ref="P30:Q30"/>
    <mergeCell ref="P38:Q38"/>
    <mergeCell ref="V25:W25"/>
    <mergeCell ref="V33:W33"/>
    <mergeCell ref="S10:T10"/>
    <mergeCell ref="S15:T15"/>
  </mergeCells>
  <pageMargins left="0.7" right="0.7" top="0.75" bottom="0.75" header="0.3" footer="0.3"/>
  <pageSetup orientation="portrait" r:id="rId1"/>
  <ignoredErrors>
    <ignoredError sqref="K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Volumenes de Obra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Caguana</dc:creator>
  <cp:lastModifiedBy>Victor Nicolas</cp:lastModifiedBy>
  <cp:lastPrinted>2021-10-24T22:29:11Z</cp:lastPrinted>
  <dcterms:created xsi:type="dcterms:W3CDTF">2021-10-14T20:30:03Z</dcterms:created>
  <dcterms:modified xsi:type="dcterms:W3CDTF">2021-12-30T17:42:06Z</dcterms:modified>
</cp:coreProperties>
</file>